
<file path=[Content_Types].xml><?xml version="1.0" encoding="utf-8"?>
<Types xmlns="http://schemas.openxmlformats.org/package/2006/content-types">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09.xml" ContentType="application/vnd.openxmlformats-officedocument.drawingml.chart+xml"/>
  <Override PartName="/xl/drawings/drawing17.xml" ContentType="application/vnd.openxmlformats-officedocument.drawing+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67.xml" ContentType="application/vnd.openxmlformats-officedocument.drawingml.chart+xml"/>
  <Override PartName="/xl/charts/chart96.xml" ContentType="application/vnd.openxmlformats-officedocument.drawingml.chart+xml"/>
  <Override PartName="/xl/charts/chart116.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56.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drawings/drawing13.xml" ContentType="application/vnd.openxmlformats-officedocument.drawing+xml"/>
  <Override PartName="/xl/charts/chart105.xml" ContentType="application/vnd.openxmlformats-officedocument.drawingml.chart+xml"/>
  <Override PartName="/xl/charts/chart16.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63.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12.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charts/chart70.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8.xml" ContentType="application/vnd.openxmlformats-officedocument.spreadsheetml.worksheet+xml"/>
  <Override PartName="/xl/charts/chart79.xml" ContentType="application/vnd.openxmlformats-officedocument.drawingml.chart+xml"/>
  <Override PartName="/xl/charts/chart97.xml" ContentType="application/vnd.openxmlformats-officedocument.drawingml.chart+xml"/>
  <Default Extension="emf" ContentType="image/x-emf"/>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harts/chart39.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86.xml" ContentType="application/vnd.openxmlformats-officedocument.drawingml.chart+xml"/>
  <Override PartName="/xl/charts/chart117.xml" ContentType="application/vnd.openxmlformats-officedocument.drawingml.chart+xml"/>
  <Override PartName="/docProps/app.xml" ContentType="application/vnd.openxmlformats-officedocument.extended-properties+xml"/>
  <Override PartName="/xl/charts/chart28.xml" ContentType="application/vnd.openxmlformats-officedocument.drawingml.chart+xml"/>
  <Override PartName="/xl/charts/chart46.xml" ContentType="application/vnd.openxmlformats-officedocument.drawingml.chart+xml"/>
  <Override PartName="/xl/charts/chart75.xml" ContentType="application/vnd.openxmlformats-officedocument.drawingml.chart+xml"/>
  <Override PartName="/xl/charts/chart93.xml" ContentType="application/vnd.openxmlformats-officedocument.drawingml.chart+xml"/>
  <Override PartName="/xl/drawings/drawing14.xml" ContentType="application/vnd.openxmlformats-officedocument.drawing+xml"/>
  <Override PartName="/xl/charts/chart106.xml" ContentType="application/vnd.openxmlformats-officedocument.drawingml.chart+xml"/>
  <Override PartName="/xl/charts/chart17.xml" ContentType="application/vnd.openxmlformats-officedocument.drawingml.chart+xml"/>
  <Override PartName="/xl/charts/chart26.xml" ContentType="application/vnd.openxmlformats-officedocument.drawingml.chart+xml"/>
  <Override PartName="/xl/charts/chart35.xml" ContentType="application/vnd.openxmlformats-officedocument.drawingml.chart+xml"/>
  <Override PartName="/xl/charts/chart44.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73.xml" ContentType="application/vnd.openxmlformats-officedocument.drawingml.chart+xml"/>
  <Default Extension="gif" ContentType="image/gif"/>
  <Override PartName="/xl/charts/chart82.xml" ContentType="application/vnd.openxmlformats-officedocument.drawingml.chart+xml"/>
  <Override PartName="/xl/charts/chart91.xml" ContentType="application/vnd.openxmlformats-officedocument.drawingml.chart+xml"/>
  <Override PartName="/xl/drawings/drawing12.xml" ContentType="application/vnd.openxmlformats-officedocument.drawing+xml"/>
  <Override PartName="/xl/charts/chart104.xml" ContentType="application/vnd.openxmlformats-officedocument.drawingml.chart+xml"/>
  <Override PartName="/xl/charts/chart113.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80.xml" ContentType="application/vnd.openxmlformats-officedocument.drawingml.chart+xml"/>
  <Override PartName="/xl/drawings/drawing10.xml" ContentType="application/vnd.openxmlformats-officedocument.drawing+xml"/>
  <Override PartName="/xl/charts/chart102.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harts/chart60.xml" ContentType="application/vnd.openxmlformats-officedocument.drawingml.chart+xml"/>
  <Override PartName="/xl/charts/chart10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chart69.xml" ContentType="application/vnd.openxmlformats-officedocument.drawingml.chart+xml"/>
  <Override PartName="/xl/charts/chart98.xml" ContentType="application/vnd.openxmlformats-officedocument.drawingml.chart+xml"/>
  <Override PartName="/xl/charts/chart118.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charts/chart29.xml" ContentType="application/vnd.openxmlformats-officedocument.drawingml.chart+xml"/>
  <Override PartName="/xl/charts/chart58.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drawings/drawing15.xml" ContentType="application/vnd.openxmlformats-officedocument.drawing+xml"/>
  <Override PartName="/xl/charts/chart107.xml" ContentType="application/vnd.openxmlformats-officedocument.drawingml.chart+xml"/>
  <Override PartName="/xl/charts/chart18.xml" ContentType="application/vnd.openxmlformats-officedocument.drawingml.chart+xml"/>
  <Override PartName="/xl/charts/chart36.xml" ContentType="application/vnd.openxmlformats-officedocument.drawingml.chart+xml"/>
  <Override PartName="/xl/charts/chart47.xml" ContentType="application/vnd.openxmlformats-officedocument.drawingml.chart+xml"/>
  <Override PartName="/xl/charts/chart65.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14.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54.xml" ContentType="application/vnd.openxmlformats-officedocument.drawingml.chart+xml"/>
  <Override PartName="/xl/charts/chart72.xml" ContentType="application/vnd.openxmlformats-officedocument.drawingml.chart+xml"/>
  <Override PartName="/xl/drawings/drawing11.xml" ContentType="application/vnd.openxmlformats-officedocument.drawing+xml"/>
  <Override PartName="/xl/charts/chart103.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99.xml" ContentType="application/vnd.openxmlformats-officedocument.drawingml.chart+xml"/>
  <Override PartName="/xl/worksheets/sheet6.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drawings/drawing5.xml" ContentType="application/vnd.openxmlformats-officedocument.drawing+xml"/>
  <Default Extension="jpeg" ContentType="image/jpeg"/>
  <Override PartName="/xl/charts/chart88.xml" ContentType="application/vnd.openxmlformats-officedocument.drawingml.chart+xml"/>
  <Override PartName="/xl/charts/chart119.xml" ContentType="application/vnd.openxmlformats-officedocument.drawingml.chart+xml"/>
  <Override PartName="/xl/charts/chart48.xml" ContentType="application/vnd.openxmlformats-officedocument.drawingml.chart+xml"/>
  <Override PartName="/xl/charts/chart77.xml" ContentType="application/vnd.openxmlformats-officedocument.drawingml.chart+xml"/>
  <Override PartName="/xl/charts/chart95.xml" ContentType="application/vnd.openxmlformats-officedocument.drawingml.chart+xml"/>
  <Override PartName="/xl/drawings/drawing16.xml" ContentType="application/vnd.openxmlformats-officedocument.drawing+xml"/>
  <Override PartName="/xl/charts/chart108.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84.xml" ContentType="application/vnd.openxmlformats-officedocument.drawingml.chart+xml"/>
  <Override PartName="/xl/charts/chart11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20" windowWidth="20730" windowHeight="11760" tabRatio="853" activeTab="3"/>
  </bookViews>
  <sheets>
    <sheet name="10 těles" sheetId="1" r:id="rId1"/>
    <sheet name="schema vzor" sheetId="4" r:id="rId2"/>
    <sheet name="anuloid" sheetId="22" r:id="rId3"/>
    <sheet name="expanze" sheetId="20" r:id="rId4"/>
    <sheet name="výpočet PT" sheetId="15" r:id="rId5"/>
    <sheet name="roztec" sheetId="16" r:id="rId6"/>
    <sheet name="PT-podklady" sheetId="14" r:id="rId7"/>
    <sheet name="vymeniky" sheetId="21" r:id="rId8"/>
    <sheet name="swep" sheetId="17" r:id="rId9"/>
    <sheet name="voda teplota varu" sheetId="13" r:id="rId10"/>
    <sheet name="Giacomini999" sheetId="11" r:id="rId11"/>
    <sheet name="termohlavice" sheetId="12" r:id="rId12"/>
    <sheet name="Kv clony" sheetId="6" r:id="rId13"/>
    <sheet name="konduktivita vody" sheetId="19" r:id="rId14"/>
    <sheet name="tabulka světlostí" sheetId="8" r:id="rId15"/>
    <sheet name="jednoduchý výpočet potrubí" sheetId="5" r:id="rId16"/>
    <sheet name="exponent" sheetId="10" r:id="rId17"/>
    <sheet name="export" sheetId="9" r:id="rId18"/>
    <sheet name="kominovy tah" sheetId="18" r:id="rId19"/>
  </sheets>
  <calcPr calcId="12451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68" i="13"/>
  <c r="A67"/>
  <c r="A66"/>
  <c r="A65"/>
  <c r="A64"/>
  <c r="A63"/>
  <c r="A62"/>
  <c r="A61"/>
  <c r="A60"/>
  <c r="A59"/>
  <c r="A58"/>
  <c r="A57"/>
  <c r="A56"/>
  <c r="A55"/>
  <c r="U212" i="12"/>
  <c r="T212"/>
  <c r="V213"/>
  <c r="U211"/>
  <c r="V211" s="1"/>
  <c r="T211"/>
  <c r="B93"/>
  <c r="C213"/>
  <c r="D213"/>
  <c r="C214"/>
  <c r="D214" s="1"/>
  <c r="C215"/>
  <c r="D215"/>
  <c r="C216"/>
  <c r="D216" s="1"/>
  <c r="C217"/>
  <c r="D217"/>
  <c r="K213"/>
  <c r="M213" s="1"/>
  <c r="N213" s="1"/>
  <c r="O2" i="18"/>
  <c r="W23" i="20"/>
  <c r="U25"/>
  <c r="Y6"/>
  <c r="Y8" s="1"/>
  <c r="Y5"/>
  <c r="T22"/>
  <c r="T20"/>
  <c r="U20" s="1"/>
  <c r="G201" i="12"/>
  <c r="G200"/>
  <c r="G199"/>
  <c r="G198"/>
  <c r="G197"/>
  <c r="G196"/>
  <c r="G195"/>
  <c r="G194"/>
  <c r="C206"/>
  <c r="C205"/>
  <c r="C204"/>
  <c r="C203"/>
  <c r="C202"/>
  <c r="F201"/>
  <c r="F200"/>
  <c r="F199"/>
  <c r="F198"/>
  <c r="F197"/>
  <c r="F196"/>
  <c r="F195"/>
  <c r="F194"/>
  <c r="B174"/>
  <c r="B178" s="1"/>
  <c r="E174"/>
  <c r="F174"/>
  <c r="H174"/>
  <c r="D175"/>
  <c r="D176" s="1"/>
  <c r="E175"/>
  <c r="F175"/>
  <c r="G175"/>
  <c r="H175"/>
  <c r="H176" s="1"/>
  <c r="I175"/>
  <c r="E176"/>
  <c r="F176"/>
  <c r="G176"/>
  <c r="I176"/>
  <c r="B177"/>
  <c r="C177"/>
  <c r="C178"/>
  <c r="C179"/>
  <c r="C180"/>
  <c r="C181"/>
  <c r="C182"/>
  <c r="C183"/>
  <c r="C184"/>
  <c r="C185"/>
  <c r="C186"/>
  <c r="C187"/>
  <c r="C188"/>
  <c r="O173"/>
  <c r="O174"/>
  <c r="O175"/>
  <c r="O176"/>
  <c r="O177"/>
  <c r="O178"/>
  <c r="O179"/>
  <c r="O180"/>
  <c r="O181"/>
  <c r="O182"/>
  <c r="V212" l="1"/>
  <c r="AA212" s="1"/>
  <c r="D184"/>
  <c r="D181"/>
  <c r="D187"/>
  <c r="D183"/>
  <c r="D179"/>
  <c r="D180"/>
  <c r="D177"/>
  <c r="D188"/>
  <c r="D185"/>
  <c r="D186"/>
  <c r="D182"/>
  <c r="D178"/>
  <c r="Y7" i="20"/>
  <c r="Y9" s="1"/>
  <c r="G186" i="12"/>
  <c r="G185"/>
  <c r="B185"/>
  <c r="G182"/>
  <c r="G181"/>
  <c r="G178"/>
  <c r="G177"/>
  <c r="G184"/>
  <c r="G183"/>
  <c r="I182"/>
  <c r="E182"/>
  <c r="I181"/>
  <c r="E181"/>
  <c r="B181"/>
  <c r="G188"/>
  <c r="G187"/>
  <c r="I186"/>
  <c r="E186"/>
  <c r="I185"/>
  <c r="E185"/>
  <c r="G180"/>
  <c r="G179"/>
  <c r="I178"/>
  <c r="J178" s="1"/>
  <c r="E178"/>
  <c r="I177"/>
  <c r="E177"/>
  <c r="I188"/>
  <c r="E188"/>
  <c r="I187"/>
  <c r="E187"/>
  <c r="B187"/>
  <c r="I184"/>
  <c r="E184"/>
  <c r="I183"/>
  <c r="E183"/>
  <c r="B183"/>
  <c r="I180"/>
  <c r="J180" s="1"/>
  <c r="E180"/>
  <c r="I179"/>
  <c r="E179"/>
  <c r="B179"/>
  <c r="B188"/>
  <c r="B186"/>
  <c r="B184"/>
  <c r="B182"/>
  <c r="B180"/>
  <c r="H188"/>
  <c r="F188"/>
  <c r="H187"/>
  <c r="F187"/>
  <c r="H186"/>
  <c r="F186"/>
  <c r="H185"/>
  <c r="F185"/>
  <c r="H184"/>
  <c r="F184"/>
  <c r="H183"/>
  <c r="F183"/>
  <c r="H182"/>
  <c r="F182"/>
  <c r="H181"/>
  <c r="F181"/>
  <c r="H180"/>
  <c r="F180"/>
  <c r="H179"/>
  <c r="F179"/>
  <c r="H178"/>
  <c r="F178"/>
  <c r="H177"/>
  <c r="F177"/>
  <c r="AI10" i="1"/>
  <c r="C30" i="20" l="1"/>
  <c r="C29"/>
  <c r="C28"/>
  <c r="C27"/>
  <c r="C26"/>
  <c r="C25"/>
  <c r="C24"/>
  <c r="C23"/>
  <c r="X6" l="1"/>
  <c r="W5"/>
  <c r="V6"/>
  <c r="U5"/>
  <c r="S6"/>
  <c r="T6"/>
  <c r="T7" s="1"/>
  <c r="S8" l="1"/>
  <c r="S7"/>
  <c r="X8"/>
  <c r="X7"/>
  <c r="V8"/>
  <c r="V7"/>
  <c r="T8"/>
  <c r="T9" s="1"/>
  <c r="S5"/>
  <c r="V5"/>
  <c r="X5"/>
  <c r="U6"/>
  <c r="W6"/>
  <c r="T5"/>
  <c r="AO89" i="15"/>
  <c r="AN89"/>
  <c r="AM89"/>
  <c r="AT96"/>
  <c r="AS96"/>
  <c r="AR96"/>
  <c r="AQ96"/>
  <c r="AP96"/>
  <c r="AU96"/>
  <c r="AT95"/>
  <c r="AS95"/>
  <c r="AR95"/>
  <c r="AQ95"/>
  <c r="AU95"/>
  <c r="AT94"/>
  <c r="AS94"/>
  <c r="AR94"/>
  <c r="AQ94"/>
  <c r="AP94"/>
  <c r="AO94"/>
  <c r="AN94"/>
  <c r="AU94"/>
  <c r="AM98"/>
  <c r="AN98"/>
  <c r="AO98"/>
  <c r="AP98"/>
  <c r="AQ98"/>
  <c r="AR98"/>
  <c r="AS98"/>
  <c r="AT98"/>
  <c r="AU98"/>
  <c r="AV98"/>
  <c r="AM99"/>
  <c r="AN99"/>
  <c r="AO99"/>
  <c r="AP99"/>
  <c r="AQ99"/>
  <c r="AR99"/>
  <c r="AS99"/>
  <c r="AT99"/>
  <c r="AU99"/>
  <c r="AV99"/>
  <c r="AM100"/>
  <c r="AN100"/>
  <c r="AO100"/>
  <c r="AP100"/>
  <c r="AQ100"/>
  <c r="AR100"/>
  <c r="AS100"/>
  <c r="AT100"/>
  <c r="AU100"/>
  <c r="AV100"/>
  <c r="AM101"/>
  <c r="AN101"/>
  <c r="AO101"/>
  <c r="AP101"/>
  <c r="AQ101"/>
  <c r="AR101"/>
  <c r="AS101"/>
  <c r="AT101"/>
  <c r="AU101"/>
  <c r="AV101"/>
  <c r="AM102"/>
  <c r="AN102"/>
  <c r="AO102"/>
  <c r="AP102"/>
  <c r="AQ102"/>
  <c r="AR102"/>
  <c r="AS102"/>
  <c r="AT102"/>
  <c r="AU102"/>
  <c r="AV102"/>
  <c r="AM103"/>
  <c r="AN103"/>
  <c r="AO103"/>
  <c r="AP103"/>
  <c r="AQ103"/>
  <c r="AR103"/>
  <c r="AS103"/>
  <c r="AT103"/>
  <c r="AU103"/>
  <c r="AV103"/>
  <c r="T3" i="22"/>
  <c r="W3"/>
  <c r="N4"/>
  <c r="T4"/>
  <c r="Y6"/>
  <c r="Q9"/>
  <c r="T1" s="1"/>
  <c r="Y9"/>
  <c r="Q11"/>
  <c r="Q14"/>
  <c r="Z14"/>
  <c r="AA14"/>
  <c r="AB14"/>
  <c r="AC14"/>
  <c r="AD14"/>
  <c r="AE14"/>
  <c r="AF14"/>
  <c r="Y15"/>
  <c r="Z15" s="1"/>
  <c r="AB15"/>
  <c r="AD15"/>
  <c r="AE15"/>
  <c r="AF15"/>
  <c r="AB16"/>
  <c r="AD16"/>
  <c r="AE16"/>
  <c r="AF16"/>
  <c r="E17"/>
  <c r="J17"/>
  <c r="O17"/>
  <c r="AB17"/>
  <c r="AD17"/>
  <c r="AE17"/>
  <c r="AF17"/>
  <c r="E18"/>
  <c r="J18"/>
  <c r="O18"/>
  <c r="AB18"/>
  <c r="AD18"/>
  <c r="AE18"/>
  <c r="AF18"/>
  <c r="P19"/>
  <c r="O19" s="1"/>
  <c r="N19" s="1"/>
  <c r="Q19"/>
  <c r="AB19"/>
  <c r="AD19"/>
  <c r="AE19"/>
  <c r="AF19"/>
  <c r="G20"/>
  <c r="AB20"/>
  <c r="AD20"/>
  <c r="AE20"/>
  <c r="AF20"/>
  <c r="Z23"/>
  <c r="AA23"/>
  <c r="AB23"/>
  <c r="AD23"/>
  <c r="AE23"/>
  <c r="AF23"/>
  <c r="Y30"/>
  <c r="Z30"/>
  <c r="Y31"/>
  <c r="Z31"/>
  <c r="Y32"/>
  <c r="Z32"/>
  <c r="Y33"/>
  <c r="Z33"/>
  <c r="Y34"/>
  <c r="Z34"/>
  <c r="Y35"/>
  <c r="Z35"/>
  <c r="C36"/>
  <c r="D36"/>
  <c r="E36"/>
  <c r="F36"/>
  <c r="Y36"/>
  <c r="Z36"/>
  <c r="C60"/>
  <c r="C61"/>
  <c r="D61" s="1"/>
  <c r="H61" s="1"/>
  <c r="C62"/>
  <c r="D62" s="1"/>
  <c r="G62" s="1"/>
  <c r="I62"/>
  <c r="C63"/>
  <c r="I63" s="1"/>
  <c r="E63"/>
  <c r="C64"/>
  <c r="I64" s="1"/>
  <c r="C65"/>
  <c r="I65" s="1"/>
  <c r="C66"/>
  <c r="I66" s="1"/>
  <c r="C67"/>
  <c r="I67" s="1"/>
  <c r="C68"/>
  <c r="I68" s="1"/>
  <c r="C69"/>
  <c r="I69" s="1"/>
  <c r="C70"/>
  <c r="I70" s="1"/>
  <c r="AO85" i="15"/>
  <c r="AO86" s="1"/>
  <c r="AO84"/>
  <c r="AN83"/>
  <c r="AN84" s="1"/>
  <c r="AL83"/>
  <c r="AN77"/>
  <c r="AP77" s="1"/>
  <c r="AN78"/>
  <c r="AP78" s="1"/>
  <c r="AN79"/>
  <c r="AP79" s="1"/>
  <c r="AK80"/>
  <c r="AO75"/>
  <c r="AO74"/>
  <c r="AO73"/>
  <c r="AO72"/>
  <c r="AO71"/>
  <c r="AN75"/>
  <c r="AN74"/>
  <c r="AN73"/>
  <c r="AN72"/>
  <c r="AN71"/>
  <c r="V9" i="20" l="1"/>
  <c r="X9"/>
  <c r="S9"/>
  <c r="U7"/>
  <c r="U8"/>
  <c r="W7"/>
  <c r="W8"/>
  <c r="AP71" i="15"/>
  <c r="AP73"/>
  <c r="AP75"/>
  <c r="I61" i="22"/>
  <c r="AC23"/>
  <c r="Q10"/>
  <c r="Y16"/>
  <c r="Z16" s="1"/>
  <c r="Q12"/>
  <c r="P9"/>
  <c r="O9" s="1"/>
  <c r="N9" s="1"/>
  <c r="M9" s="1"/>
  <c r="L9" s="1"/>
  <c r="T2"/>
  <c r="T7" s="1"/>
  <c r="T6"/>
  <c r="M19"/>
  <c r="N10"/>
  <c r="D63"/>
  <c r="G63" s="1"/>
  <c r="E64"/>
  <c r="H62"/>
  <c r="G61"/>
  <c r="Y17"/>
  <c r="AA16"/>
  <c r="AC16" s="1"/>
  <c r="AA15"/>
  <c r="AC15" s="1"/>
  <c r="Q18"/>
  <c r="Q17"/>
  <c r="Q16"/>
  <c r="Q15"/>
  <c r="Q13"/>
  <c r="Q5"/>
  <c r="AP72" i="15"/>
  <c r="AP74"/>
  <c r="AP84"/>
  <c r="AN85"/>
  <c r="A79" i="13"/>
  <c r="A78"/>
  <c r="A77"/>
  <c r="A76"/>
  <c r="A75"/>
  <c r="A74"/>
  <c r="A73"/>
  <c r="A72"/>
  <c r="A71"/>
  <c r="A70"/>
  <c r="A80"/>
  <c r="D37" i="20"/>
  <c r="D43"/>
  <c r="M347" i="15"/>
  <c r="L347"/>
  <c r="K347"/>
  <c r="J347"/>
  <c r="I347"/>
  <c r="H347"/>
  <c r="G347"/>
  <c r="F347"/>
  <c r="E347"/>
  <c r="D347"/>
  <c r="C347"/>
  <c r="M346"/>
  <c r="L346"/>
  <c r="K346"/>
  <c r="J346"/>
  <c r="I346"/>
  <c r="H346"/>
  <c r="G346"/>
  <c r="F346"/>
  <c r="E346"/>
  <c r="D346"/>
  <c r="C346"/>
  <c r="M345"/>
  <c r="L345"/>
  <c r="K345"/>
  <c r="J345"/>
  <c r="I345"/>
  <c r="H345"/>
  <c r="G345"/>
  <c r="F345"/>
  <c r="E345"/>
  <c r="D345"/>
  <c r="C345"/>
  <c r="M344"/>
  <c r="L344"/>
  <c r="K344"/>
  <c r="J344"/>
  <c r="I344"/>
  <c r="H344"/>
  <c r="G344"/>
  <c r="F344"/>
  <c r="E344"/>
  <c r="D344"/>
  <c r="C344"/>
  <c r="AW69" i="1"/>
  <c r="AV69"/>
  <c r="AU69"/>
  <c r="AT69"/>
  <c r="AS69"/>
  <c r="AR69"/>
  <c r="AQ69"/>
  <c r="AR70"/>
  <c r="AS70" s="1"/>
  <c r="AT70" s="1"/>
  <c r="AD95"/>
  <c r="X133" i="15"/>
  <c r="X134" s="1"/>
  <c r="X135" s="1"/>
  <c r="X136" s="1"/>
  <c r="X137" s="1"/>
  <c r="X138" s="1"/>
  <c r="Y130"/>
  <c r="Y131"/>
  <c r="Y132" s="1"/>
  <c r="Z132" s="1"/>
  <c r="Z113"/>
  <c r="Z115" s="1"/>
  <c r="Z117" s="1"/>
  <c r="Z119" s="1"/>
  <c r="Z121" s="1"/>
  <c r="Z123" s="1"/>
  <c r="Z125" s="1"/>
  <c r="Z127" s="1"/>
  <c r="X113"/>
  <c r="X115" s="1"/>
  <c r="X117" s="1"/>
  <c r="X119" s="1"/>
  <c r="X121" s="1"/>
  <c r="X123" s="1"/>
  <c r="X125" s="1"/>
  <c r="X127" s="1"/>
  <c r="Y113"/>
  <c r="Y115" s="1"/>
  <c r="Y117" s="1"/>
  <c r="Y119" s="1"/>
  <c r="Y121" s="1"/>
  <c r="Y123" s="1"/>
  <c r="Y125" s="1"/>
  <c r="Y127" s="1"/>
  <c r="Q131"/>
  <c r="Q130"/>
  <c r="Q129"/>
  <c r="Q128"/>
  <c r="Q127"/>
  <c r="Q126"/>
  <c r="Q125"/>
  <c r="Q124"/>
  <c r="Q123"/>
  <c r="Q122"/>
  <c r="Q120"/>
  <c r="Q119"/>
  <c r="Q118"/>
  <c r="Q117"/>
  <c r="Q116"/>
  <c r="Q115"/>
  <c r="Q114"/>
  <c r="Q113"/>
  <c r="Q112"/>
  <c r="Q111"/>
  <c r="R131"/>
  <c r="R130"/>
  <c r="R129"/>
  <c r="R128"/>
  <c r="R127"/>
  <c r="R126"/>
  <c r="R125"/>
  <c r="R124"/>
  <c r="R123"/>
  <c r="R122"/>
  <c r="R120"/>
  <c r="R119"/>
  <c r="R118"/>
  <c r="R117"/>
  <c r="R116"/>
  <c r="R115"/>
  <c r="R114"/>
  <c r="R113"/>
  <c r="R112"/>
  <c r="R111"/>
  <c r="O107"/>
  <c r="O106"/>
  <c r="O105"/>
  <c r="AA64"/>
  <c r="AA26" i="1"/>
  <c r="G137" i="12"/>
  <c r="G138" s="1"/>
  <c r="G167"/>
  <c r="G168" s="1"/>
  <c r="D125"/>
  <c r="D128"/>
  <c r="F128"/>
  <c r="G128"/>
  <c r="G129" s="1"/>
  <c r="D129"/>
  <c r="F129"/>
  <c r="D130"/>
  <c r="F130"/>
  <c r="D131"/>
  <c r="F131"/>
  <c r="D132"/>
  <c r="F132"/>
  <c r="D133"/>
  <c r="F133"/>
  <c r="D134"/>
  <c r="F134"/>
  <c r="D135"/>
  <c r="F135"/>
  <c r="D137"/>
  <c r="D138"/>
  <c r="D139"/>
  <c r="D140"/>
  <c r="D141"/>
  <c r="D142"/>
  <c r="D143"/>
  <c r="D144"/>
  <c r="F154"/>
  <c r="F158"/>
  <c r="G158"/>
  <c r="G159" s="1"/>
  <c r="G160" s="1"/>
  <c r="F159"/>
  <c r="F160"/>
  <c r="F161"/>
  <c r="F162"/>
  <c r="F163"/>
  <c r="F164"/>
  <c r="F165"/>
  <c r="D167"/>
  <c r="W9" i="20" l="1"/>
  <c r="U9"/>
  <c r="E160" i="12"/>
  <c r="H160" s="1"/>
  <c r="E159"/>
  <c r="H159" s="1"/>
  <c r="E158"/>
  <c r="H63" i="22"/>
  <c r="T8"/>
  <c r="B9" s="1"/>
  <c r="C9" s="1"/>
  <c r="D9" s="1"/>
  <c r="E9" s="1"/>
  <c r="F9" s="1"/>
  <c r="G9" s="1"/>
  <c r="G10" s="1"/>
  <c r="G11" s="1"/>
  <c r="G12" s="1"/>
  <c r="G13" s="1"/>
  <c r="G14" s="1"/>
  <c r="G15" s="1"/>
  <c r="G16" s="1"/>
  <c r="G17" s="1"/>
  <c r="G18" s="1"/>
  <c r="H9"/>
  <c r="I9" s="1"/>
  <c r="I10" s="1"/>
  <c r="B19"/>
  <c r="Z17"/>
  <c r="AA17"/>
  <c r="Y18"/>
  <c r="N11"/>
  <c r="N18" s="1"/>
  <c r="N12"/>
  <c r="N17"/>
  <c r="B10"/>
  <c r="L10"/>
  <c r="B12"/>
  <c r="B13"/>
  <c r="L13"/>
  <c r="L14"/>
  <c r="L16"/>
  <c r="C19"/>
  <c r="D19" s="1"/>
  <c r="I19"/>
  <c r="K19"/>
  <c r="B11"/>
  <c r="L11"/>
  <c r="L15"/>
  <c r="B16"/>
  <c r="B17"/>
  <c r="L17"/>
  <c r="J19"/>
  <c r="L12"/>
  <c r="B14"/>
  <c r="B15"/>
  <c r="B18"/>
  <c r="L18"/>
  <c r="H19"/>
  <c r="L19"/>
  <c r="D64"/>
  <c r="G64" s="1"/>
  <c r="H64"/>
  <c r="E65"/>
  <c r="AN86" i="15"/>
  <c r="AP86" s="1"/>
  <c r="AP85"/>
  <c r="G161" i="12"/>
  <c r="AU70" i="1"/>
  <c r="Y133" i="15"/>
  <c r="AA117"/>
  <c r="H158" i="12"/>
  <c r="E129"/>
  <c r="H129" s="1"/>
  <c r="G130"/>
  <c r="E128"/>
  <c r="B19" i="21"/>
  <c r="G19"/>
  <c r="E21"/>
  <c r="C22" s="1"/>
  <c r="B22"/>
  <c r="B23" s="1"/>
  <c r="D22"/>
  <c r="D23" s="1"/>
  <c r="D24" s="1"/>
  <c r="D25" s="1"/>
  <c r="D26" s="1"/>
  <c r="D27" s="1"/>
  <c r="D28" s="1"/>
  <c r="D29" s="1"/>
  <c r="D30" s="1"/>
  <c r="D31" s="1"/>
  <c r="F22"/>
  <c r="G22"/>
  <c r="G23" s="1"/>
  <c r="G24" s="1"/>
  <c r="G25" s="1"/>
  <c r="G26" s="1"/>
  <c r="G27" s="1"/>
  <c r="G28" s="1"/>
  <c r="G29" s="1"/>
  <c r="G30" s="1"/>
  <c r="G31" s="1"/>
  <c r="B24"/>
  <c r="B25" s="1"/>
  <c r="B26" s="1"/>
  <c r="B27" s="1"/>
  <c r="B28" s="1"/>
  <c r="B29" s="1"/>
  <c r="B30" s="1"/>
  <c r="B31" s="1"/>
  <c r="B37"/>
  <c r="G37"/>
  <c r="E39"/>
  <c r="C40" s="1"/>
  <c r="H39"/>
  <c r="B40"/>
  <c r="D40"/>
  <c r="F40"/>
  <c r="G40"/>
  <c r="G41" s="1"/>
  <c r="G42" s="1"/>
  <c r="G43" s="1"/>
  <c r="G44" s="1"/>
  <c r="G45" s="1"/>
  <c r="G46" s="1"/>
  <c r="G47" s="1"/>
  <c r="G48" s="1"/>
  <c r="B41"/>
  <c r="B42" s="1"/>
  <c r="D41"/>
  <c r="D42"/>
  <c r="D43" s="1"/>
  <c r="D44" s="1"/>
  <c r="D45" s="1"/>
  <c r="D46" s="1"/>
  <c r="D47" s="1"/>
  <c r="D48" s="1"/>
  <c r="D49" s="1"/>
  <c r="B43"/>
  <c r="B44" s="1"/>
  <c r="B45" s="1"/>
  <c r="B46" s="1"/>
  <c r="B47" s="1"/>
  <c r="B48" s="1"/>
  <c r="B49" s="1"/>
  <c r="U50"/>
  <c r="U53"/>
  <c r="AC56"/>
  <c r="X57"/>
  <c r="AC57"/>
  <c r="AK57"/>
  <c r="AL57" s="1"/>
  <c r="AK58"/>
  <c r="AL58" s="1"/>
  <c r="AA59"/>
  <c r="AG59" s="1"/>
  <c r="AK59"/>
  <c r="AL59" s="1"/>
  <c r="AK60"/>
  <c r="AJ60" s="1"/>
  <c r="U63"/>
  <c r="S71" s="1"/>
  <c r="U64"/>
  <c r="AB64"/>
  <c r="U65"/>
  <c r="S73" s="1"/>
  <c r="AB66"/>
  <c r="AB67"/>
  <c r="AB68"/>
  <c r="AB69"/>
  <c r="T70"/>
  <c r="T71" s="1"/>
  <c r="T72" s="1"/>
  <c r="T73" s="1"/>
  <c r="S72"/>
  <c r="AC73"/>
  <c r="AA75"/>
  <c r="AB75"/>
  <c r="B77"/>
  <c r="G77"/>
  <c r="BC77"/>
  <c r="BD77"/>
  <c r="BC78"/>
  <c r="BD78"/>
  <c r="E79"/>
  <c r="BC79"/>
  <c r="BD79" s="1"/>
  <c r="B80"/>
  <c r="C80"/>
  <c r="D80"/>
  <c r="F80"/>
  <c r="E80" s="1"/>
  <c r="G80"/>
  <c r="BC80"/>
  <c r="BD80" s="1"/>
  <c r="B81"/>
  <c r="D81"/>
  <c r="G81"/>
  <c r="BC81"/>
  <c r="BD81" s="1"/>
  <c r="B82"/>
  <c r="D82"/>
  <c r="G82"/>
  <c r="AA82"/>
  <c r="AA84" s="1"/>
  <c r="BC82"/>
  <c r="BD82"/>
  <c r="B83"/>
  <c r="D83"/>
  <c r="D84" s="1"/>
  <c r="G83"/>
  <c r="BC83"/>
  <c r="BD83" s="1"/>
  <c r="B84"/>
  <c r="B85" s="1"/>
  <c r="B86" s="1"/>
  <c r="G84"/>
  <c r="G85" s="1"/>
  <c r="G86" s="1"/>
  <c r="G87" s="1"/>
  <c r="G88" s="1"/>
  <c r="BC84"/>
  <c r="BD84" s="1"/>
  <c r="D85"/>
  <c r="D86" s="1"/>
  <c r="D87" s="1"/>
  <c r="D88" s="1"/>
  <c r="D89" s="1"/>
  <c r="BC85"/>
  <c r="BD85"/>
  <c r="BC86"/>
  <c r="BD86" s="1"/>
  <c r="B87"/>
  <c r="B88" s="1"/>
  <c r="BC87"/>
  <c r="BD87" s="1"/>
  <c r="BC88"/>
  <c r="BD88" s="1"/>
  <c r="B89"/>
  <c r="AF89"/>
  <c r="BC89"/>
  <c r="BD89" s="1"/>
  <c r="AD90"/>
  <c r="BC90"/>
  <c r="BD90" s="1"/>
  <c r="BC91"/>
  <c r="BD91" s="1"/>
  <c r="AA92"/>
  <c r="AD92" s="1"/>
  <c r="BC92"/>
  <c r="BD92" s="1"/>
  <c r="BC93"/>
  <c r="BD93" s="1"/>
  <c r="BC94"/>
  <c r="BD94" s="1"/>
  <c r="BC95"/>
  <c r="BD95" s="1"/>
  <c r="AA96"/>
  <c r="BC96"/>
  <c r="BD96" s="1"/>
  <c r="B97"/>
  <c r="G97"/>
  <c r="BC97"/>
  <c r="BD97" s="1"/>
  <c r="BC98"/>
  <c r="BD98" s="1"/>
  <c r="E99"/>
  <c r="C100" s="1"/>
  <c r="BC99"/>
  <c r="BD99" s="1"/>
  <c r="B100"/>
  <c r="D100"/>
  <c r="D101" s="1"/>
  <c r="D102" s="1"/>
  <c r="D103" s="1"/>
  <c r="D104" s="1"/>
  <c r="D105" s="1"/>
  <c r="D106" s="1"/>
  <c r="D107" s="1"/>
  <c r="D108" s="1"/>
  <c r="D109" s="1"/>
  <c r="G100"/>
  <c r="BC100"/>
  <c r="BD100" s="1"/>
  <c r="B101"/>
  <c r="G101"/>
  <c r="BC101"/>
  <c r="BD101" s="1"/>
  <c r="B102"/>
  <c r="G102"/>
  <c r="BC102"/>
  <c r="BD102" s="1"/>
  <c r="B103"/>
  <c r="G103"/>
  <c r="BC103"/>
  <c r="BD103" s="1"/>
  <c r="B104"/>
  <c r="G104"/>
  <c r="G105" s="1"/>
  <c r="G106" s="1"/>
  <c r="G107" s="1"/>
  <c r="G108" s="1"/>
  <c r="BC104"/>
  <c r="BD104" s="1"/>
  <c r="B105"/>
  <c r="B106" s="1"/>
  <c r="BC105"/>
  <c r="BD105" s="1"/>
  <c r="BC106"/>
  <c r="BD106" s="1"/>
  <c r="B107"/>
  <c r="B108" s="1"/>
  <c r="B109" s="1"/>
  <c r="BC107"/>
  <c r="BD107" s="1"/>
  <c r="A129"/>
  <c r="D130"/>
  <c r="A132"/>
  <c r="B132"/>
  <c r="G132"/>
  <c r="D134"/>
  <c r="E134" s="1"/>
  <c r="F135" s="1"/>
  <c r="B135"/>
  <c r="B136" s="1"/>
  <c r="B137" s="1"/>
  <c r="B138" s="1"/>
  <c r="B139" s="1"/>
  <c r="B140" s="1"/>
  <c r="B141" s="1"/>
  <c r="B142" s="1"/>
  <c r="B143" s="1"/>
  <c r="B144" s="1"/>
  <c r="G135"/>
  <c r="G136" s="1"/>
  <c r="G137"/>
  <c r="G138" s="1"/>
  <c r="G139" s="1"/>
  <c r="G140" s="1"/>
  <c r="G141" s="1"/>
  <c r="G142" s="1"/>
  <c r="G143" s="1"/>
  <c r="B157"/>
  <c r="G157"/>
  <c r="E159"/>
  <c r="B160"/>
  <c r="B161" s="1"/>
  <c r="C160"/>
  <c r="D160"/>
  <c r="D161" s="1"/>
  <c r="D162" s="1"/>
  <c r="D163" s="1"/>
  <c r="D164" s="1"/>
  <c r="D165" s="1"/>
  <c r="D166" s="1"/>
  <c r="D167" s="1"/>
  <c r="D168" s="1"/>
  <c r="D169" s="1"/>
  <c r="F160"/>
  <c r="G160"/>
  <c r="G161" s="1"/>
  <c r="G162" s="1"/>
  <c r="G163" s="1"/>
  <c r="G164" s="1"/>
  <c r="G165" s="1"/>
  <c r="G166" s="1"/>
  <c r="G167" s="1"/>
  <c r="G168" s="1"/>
  <c r="B162"/>
  <c r="B163" s="1"/>
  <c r="B164" s="1"/>
  <c r="B165" s="1"/>
  <c r="B166" s="1"/>
  <c r="B167" s="1"/>
  <c r="B168" s="1"/>
  <c r="B169" s="1"/>
  <c r="B187"/>
  <c r="G187"/>
  <c r="E189"/>
  <c r="C190" s="1"/>
  <c r="B190"/>
  <c r="B191" s="1"/>
  <c r="B192" s="1"/>
  <c r="B193" s="1"/>
  <c r="B194" s="1"/>
  <c r="B195" s="1"/>
  <c r="B196" s="1"/>
  <c r="B197" s="1"/>
  <c r="B198" s="1"/>
  <c r="B199" s="1"/>
  <c r="D190"/>
  <c r="D191" s="1"/>
  <c r="D192" s="1"/>
  <c r="D193" s="1"/>
  <c r="D194" s="1"/>
  <c r="D195" s="1"/>
  <c r="D196" s="1"/>
  <c r="D197" s="1"/>
  <c r="D198" s="1"/>
  <c r="D199" s="1"/>
  <c r="G190"/>
  <c r="G191" s="1"/>
  <c r="G192" s="1"/>
  <c r="G193" s="1"/>
  <c r="G194" s="1"/>
  <c r="G195" s="1"/>
  <c r="G196" s="1"/>
  <c r="G197" s="1"/>
  <c r="G198" s="1"/>
  <c r="B205"/>
  <c r="G205"/>
  <c r="E207"/>
  <c r="F208" s="1"/>
  <c r="B208"/>
  <c r="C208"/>
  <c r="D208"/>
  <c r="D209" s="1"/>
  <c r="G208"/>
  <c r="B209"/>
  <c r="B210" s="1"/>
  <c r="B211" s="1"/>
  <c r="B212" s="1"/>
  <c r="B213" s="1"/>
  <c r="B214" s="1"/>
  <c r="B215" s="1"/>
  <c r="B216" s="1"/>
  <c r="B217" s="1"/>
  <c r="G209"/>
  <c r="G210" s="1"/>
  <c r="G211" s="1"/>
  <c r="G212" s="1"/>
  <c r="G213" s="1"/>
  <c r="G214" s="1"/>
  <c r="G215" s="1"/>
  <c r="G216" s="1"/>
  <c r="D210"/>
  <c r="D211" s="1"/>
  <c r="D212" s="1"/>
  <c r="D213" s="1"/>
  <c r="D214" s="1"/>
  <c r="D215" s="1"/>
  <c r="D216" s="1"/>
  <c r="D217" s="1"/>
  <c r="D135" l="1"/>
  <c r="D136" s="1"/>
  <c r="D137" s="1"/>
  <c r="D138" s="1"/>
  <c r="D139" s="1"/>
  <c r="D140" s="1"/>
  <c r="D141" s="1"/>
  <c r="D142" s="1"/>
  <c r="D143" s="1"/>
  <c r="D144" s="1"/>
  <c r="F100"/>
  <c r="E100" s="1"/>
  <c r="C101" s="1"/>
  <c r="U73"/>
  <c r="X73" s="1"/>
  <c r="J9" i="22"/>
  <c r="K9" s="1"/>
  <c r="AC17"/>
  <c r="E19"/>
  <c r="F19" s="1"/>
  <c r="G19" s="1"/>
  <c r="D10"/>
  <c r="L20"/>
  <c r="N16"/>
  <c r="I11"/>
  <c r="I18" s="1"/>
  <c r="I17"/>
  <c r="L22" s="1"/>
  <c r="D65"/>
  <c r="G65" s="1"/>
  <c r="E66"/>
  <c r="M13"/>
  <c r="L21" s="1"/>
  <c r="Z18"/>
  <c r="AA18"/>
  <c r="Y19"/>
  <c r="C148" i="21"/>
  <c r="C150"/>
  <c r="C149"/>
  <c r="C151"/>
  <c r="U72"/>
  <c r="X72" s="1"/>
  <c r="U71"/>
  <c r="X71" s="1"/>
  <c r="C135"/>
  <c r="AA85"/>
  <c r="E160"/>
  <c r="F161" s="1"/>
  <c r="E22"/>
  <c r="F23" s="1"/>
  <c r="E161" i="12"/>
  <c r="H161" s="1"/>
  <c r="G162"/>
  <c r="AV70" i="1"/>
  <c r="Y134" i="15"/>
  <c r="Z133"/>
  <c r="H128" i="12"/>
  <c r="G131"/>
  <c r="E130"/>
  <c r="H130" s="1"/>
  <c r="F190" i="21"/>
  <c r="E190" s="1"/>
  <c r="C191" s="1"/>
  <c r="C161"/>
  <c r="C23"/>
  <c r="E208"/>
  <c r="F209" s="1"/>
  <c r="E135"/>
  <c r="F136" s="1"/>
  <c r="F101"/>
  <c r="C81"/>
  <c r="F81"/>
  <c r="E40"/>
  <c r="C41" s="1"/>
  <c r="AC18" i="22" l="1"/>
  <c r="H65"/>
  <c r="D11"/>
  <c r="D18" s="1"/>
  <c r="D17"/>
  <c r="D16" s="1"/>
  <c r="D12"/>
  <c r="H14"/>
  <c r="G21" s="1"/>
  <c r="Z19"/>
  <c r="AA19"/>
  <c r="AC19" s="1"/>
  <c r="Y20"/>
  <c r="D66"/>
  <c r="G66" s="1"/>
  <c r="E67"/>
  <c r="G22"/>
  <c r="E162" i="12"/>
  <c r="H162" s="1"/>
  <c r="G163"/>
  <c r="AW70" i="1"/>
  <c r="Y135" i="15"/>
  <c r="Z134"/>
  <c r="E131" i="12"/>
  <c r="H131" s="1"/>
  <c r="G132"/>
  <c r="E101" i="21"/>
  <c r="C102" s="1"/>
  <c r="E81"/>
  <c r="C82" s="1"/>
  <c r="E23"/>
  <c r="C24" s="1"/>
  <c r="E161"/>
  <c r="C162" s="1"/>
  <c r="F191"/>
  <c r="F41"/>
  <c r="E41" s="1"/>
  <c r="C136"/>
  <c r="C209"/>
  <c r="F82" l="1"/>
  <c r="H66" i="22"/>
  <c r="D67"/>
  <c r="G67"/>
  <c r="H67"/>
  <c r="E68"/>
  <c r="Z20"/>
  <c r="AA20"/>
  <c r="AC20" s="1"/>
  <c r="E163" i="12"/>
  <c r="H163" s="1"/>
  <c r="G164"/>
  <c r="F24" i="21"/>
  <c r="F162"/>
  <c r="E162" s="1"/>
  <c r="F102"/>
  <c r="Y136" i="15"/>
  <c r="Z135"/>
  <c r="G133" i="12"/>
  <c r="E132"/>
  <c r="H132" s="1"/>
  <c r="C42" i="21"/>
  <c r="E209"/>
  <c r="C210"/>
  <c r="E136"/>
  <c r="C137" s="1"/>
  <c r="E191"/>
  <c r="E24"/>
  <c r="F25" s="1"/>
  <c r="E82"/>
  <c r="F83" s="1"/>
  <c r="E102"/>
  <c r="F42"/>
  <c r="F103"/>
  <c r="D68" i="22" l="1"/>
  <c r="G68"/>
  <c r="H68"/>
  <c r="E69"/>
  <c r="E164" i="12"/>
  <c r="H164" s="1"/>
  <c r="G165"/>
  <c r="E165" s="1"/>
  <c r="H165" s="1"/>
  <c r="Y137" i="15"/>
  <c r="Z136"/>
  <c r="E133" i="12"/>
  <c r="H133" s="1"/>
  <c r="G134"/>
  <c r="C192" i="21"/>
  <c r="F210"/>
  <c r="E42"/>
  <c r="C43"/>
  <c r="F163"/>
  <c r="C103"/>
  <c r="C83"/>
  <c r="C25"/>
  <c r="C163"/>
  <c r="F192"/>
  <c r="F137"/>
  <c r="E137" s="1"/>
  <c r="E210"/>
  <c r="C211" s="1"/>
  <c r="F43"/>
  <c r="D69" i="22" l="1"/>
  <c r="G69"/>
  <c r="H69"/>
  <c r="E70"/>
  <c r="Y138" i="15"/>
  <c r="Z138" s="1"/>
  <c r="Z137"/>
  <c r="G135" i="12"/>
  <c r="E135" s="1"/>
  <c r="H135" s="1"/>
  <c r="E134"/>
  <c r="H134" s="1"/>
  <c r="C138" i="21"/>
  <c r="E163"/>
  <c r="C164" s="1"/>
  <c r="E83"/>
  <c r="C84" s="1"/>
  <c r="E192"/>
  <c r="C193" s="1"/>
  <c r="F211"/>
  <c r="E211" s="1"/>
  <c r="E25"/>
  <c r="E103"/>
  <c r="F104" s="1"/>
  <c r="E43"/>
  <c r="F44" s="1"/>
  <c r="F138"/>
  <c r="D70" i="22" l="1"/>
  <c r="G70"/>
  <c r="H70"/>
  <c r="F164" i="21"/>
  <c r="F193"/>
  <c r="E193" s="1"/>
  <c r="E164"/>
  <c r="C165"/>
  <c r="F26"/>
  <c r="E138"/>
  <c r="C139" s="1"/>
  <c r="C212"/>
  <c r="F212"/>
  <c r="F165"/>
  <c r="F84"/>
  <c r="F139"/>
  <c r="C44"/>
  <c r="C104"/>
  <c r="C26"/>
  <c r="C194" l="1"/>
  <c r="F194"/>
  <c r="E26"/>
  <c r="C27"/>
  <c r="E44"/>
  <c r="F45" s="1"/>
  <c r="C45"/>
  <c r="E104"/>
  <c r="F105" s="1"/>
  <c r="C105"/>
  <c r="E212"/>
  <c r="C213" s="1"/>
  <c r="F27"/>
  <c r="E139"/>
  <c r="F140" s="1"/>
  <c r="E165"/>
  <c r="C166" s="1"/>
  <c r="F213"/>
  <c r="E84"/>
  <c r="C85" s="1"/>
  <c r="F166" l="1"/>
  <c r="C140"/>
  <c r="E194"/>
  <c r="C195" s="1"/>
  <c r="F195"/>
  <c r="E195" s="1"/>
  <c r="E213"/>
  <c r="C214"/>
  <c r="E166"/>
  <c r="C167"/>
  <c r="F85"/>
  <c r="E140"/>
  <c r="F141" s="1"/>
  <c r="E105"/>
  <c r="F106" s="1"/>
  <c r="E45"/>
  <c r="F46" s="1"/>
  <c r="E27"/>
  <c r="C28" s="1"/>
  <c r="F214"/>
  <c r="F167"/>
  <c r="C196" l="1"/>
  <c r="F196"/>
  <c r="F28"/>
  <c r="E28" s="1"/>
  <c r="C29" s="1"/>
  <c r="C46"/>
  <c r="C106"/>
  <c r="C141"/>
  <c r="E85"/>
  <c r="C86" s="1"/>
  <c r="E167"/>
  <c r="F168" s="1"/>
  <c r="E214"/>
  <c r="C215" s="1"/>
  <c r="F215"/>
  <c r="F86" l="1"/>
  <c r="E196"/>
  <c r="C197" s="1"/>
  <c r="E215"/>
  <c r="C216" s="1"/>
  <c r="E106"/>
  <c r="F107" s="1"/>
  <c r="E86"/>
  <c r="C87" s="1"/>
  <c r="E141"/>
  <c r="F142" s="1"/>
  <c r="E46"/>
  <c r="F47" s="1"/>
  <c r="F216"/>
  <c r="C168"/>
  <c r="F197"/>
  <c r="F29"/>
  <c r="F87" l="1"/>
  <c r="C47"/>
  <c r="E47" s="1"/>
  <c r="C142"/>
  <c r="C107"/>
  <c r="E107" s="1"/>
  <c r="E216"/>
  <c r="E219" s="1"/>
  <c r="F217"/>
  <c r="F219" s="1"/>
  <c r="E197"/>
  <c r="C198" s="1"/>
  <c r="E168"/>
  <c r="C169"/>
  <c r="E142"/>
  <c r="F143" s="1"/>
  <c r="C143"/>
  <c r="E87"/>
  <c r="C88"/>
  <c r="F88"/>
  <c r="E29"/>
  <c r="C30" s="1"/>
  <c r="F108" l="1"/>
  <c r="C108"/>
  <c r="F48"/>
  <c r="C48"/>
  <c r="E143"/>
  <c r="E146" s="1"/>
  <c r="E171"/>
  <c r="F169"/>
  <c r="F171" s="1"/>
  <c r="F198"/>
  <c r="C217"/>
  <c r="E88"/>
  <c r="E91" s="1"/>
  <c r="E169"/>
  <c r="C171"/>
  <c r="F30"/>
  <c r="E48" l="1"/>
  <c r="E51" s="1"/>
  <c r="E108"/>
  <c r="E111" s="1"/>
  <c r="F144"/>
  <c r="F146" s="1"/>
  <c r="C144"/>
  <c r="C146" s="1"/>
  <c r="E217"/>
  <c r="C219"/>
  <c r="F31"/>
  <c r="F33" s="1"/>
  <c r="C89"/>
  <c r="F89"/>
  <c r="F91" s="1"/>
  <c r="E30"/>
  <c r="F49"/>
  <c r="F51" s="1"/>
  <c r="E144"/>
  <c r="E198"/>
  <c r="F199" s="1"/>
  <c r="F201" s="1"/>
  <c r="C109" l="1"/>
  <c r="F109"/>
  <c r="F111" s="1"/>
  <c r="C49"/>
  <c r="C51" s="1"/>
  <c r="E201"/>
  <c r="C199"/>
  <c r="E33"/>
  <c r="C31"/>
  <c r="F92"/>
  <c r="E89"/>
  <c r="C91"/>
  <c r="E49"/>
  <c r="E109" l="1"/>
  <c r="F112"/>
  <c r="C111"/>
  <c r="C33"/>
  <c r="E31"/>
  <c r="E199"/>
  <c r="C201"/>
  <c r="C8" i="20" l="1"/>
  <c r="B11"/>
  <c r="B12"/>
  <c r="B13"/>
  <c r="B14"/>
  <c r="B15"/>
  <c r="B16"/>
  <c r="B17"/>
  <c r="B18"/>
  <c r="AL53" i="1"/>
  <c r="AO16"/>
  <c r="AP30"/>
  <c r="AP29"/>
  <c r="AP28"/>
  <c r="AP27"/>
  <c r="AP26"/>
  <c r="AP25"/>
  <c r="AP24"/>
  <c r="AP23"/>
  <c r="AP22"/>
  <c r="AP21"/>
  <c r="AP20"/>
  <c r="AL65"/>
  <c r="AL54"/>
  <c r="AL42"/>
  <c r="AL30"/>
  <c r="AL19"/>
  <c r="M11" i="19"/>
  <c r="M14" s="1"/>
  <c r="M15" s="1"/>
  <c r="M16" s="1"/>
  <c r="M17" s="1"/>
  <c r="G96" i="14"/>
  <c r="D92"/>
  <c r="E92" s="1"/>
  <c r="A92"/>
  <c r="G97" s="1"/>
  <c r="G98" s="1"/>
  <c r="G99" s="1"/>
  <c r="D91"/>
  <c r="E91" s="1"/>
  <c r="A91"/>
  <c r="D90"/>
  <c r="E90" s="1"/>
  <c r="A90"/>
  <c r="D89"/>
  <c r="E89" s="1"/>
  <c r="A89"/>
  <c r="Q94"/>
  <c r="Q96"/>
  <c r="O93"/>
  <c r="P93" s="1"/>
  <c r="L93"/>
  <c r="O92"/>
  <c r="P92" s="1"/>
  <c r="L92"/>
  <c r="O91"/>
  <c r="P91" s="1"/>
  <c r="L91"/>
  <c r="O90"/>
  <c r="P90" s="1"/>
  <c r="L90"/>
  <c r="O89"/>
  <c r="P89" s="1"/>
  <c r="L89"/>
  <c r="O88"/>
  <c r="P88" s="1"/>
  <c r="L88"/>
  <c r="O87"/>
  <c r="P87" s="1"/>
  <c r="L87"/>
  <c r="O86"/>
  <c r="P86" s="1"/>
  <c r="O81"/>
  <c r="P81" s="1"/>
  <c r="L81"/>
  <c r="O80"/>
  <c r="P80" s="1"/>
  <c r="L80"/>
  <c r="O79"/>
  <c r="P79" s="1"/>
  <c r="L79"/>
  <c r="M75"/>
  <c r="O75" s="1"/>
  <c r="P75" s="1"/>
  <c r="F76"/>
  <c r="F74"/>
  <c r="O73"/>
  <c r="P73" s="1"/>
  <c r="L73"/>
  <c r="O72"/>
  <c r="P72" s="1"/>
  <c r="L72"/>
  <c r="D73"/>
  <c r="E73" s="1"/>
  <c r="A73"/>
  <c r="D72"/>
  <c r="E72" s="1"/>
  <c r="A72"/>
  <c r="S74"/>
  <c r="S73"/>
  <c r="S72"/>
  <c r="S75"/>
  <c r="A86"/>
  <c r="A85"/>
  <c r="A84"/>
  <c r="A83"/>
  <c r="A82"/>
  <c r="V74"/>
  <c r="W74" s="1"/>
  <c r="V73"/>
  <c r="W73" s="1"/>
  <c r="V72"/>
  <c r="W72" s="1"/>
  <c r="V75"/>
  <c r="W75" s="1"/>
  <c r="D86"/>
  <c r="E86" s="1"/>
  <c r="D85"/>
  <c r="E85" s="1"/>
  <c r="D84"/>
  <c r="E84" s="1"/>
  <c r="D82"/>
  <c r="E82" s="1"/>
  <c r="D83"/>
  <c r="E83" s="1"/>
  <c r="E68"/>
  <c r="A70"/>
  <c r="A69"/>
  <c r="A68"/>
  <c r="C68" s="1"/>
  <c r="D68" s="1"/>
  <c r="A67"/>
  <c r="C67" s="1"/>
  <c r="D67" s="1"/>
  <c r="C70"/>
  <c r="D70" s="1"/>
  <c r="C69"/>
  <c r="D69" s="1"/>
  <c r="A62"/>
  <c r="C62" s="1"/>
  <c r="D62" s="1"/>
  <c r="C65"/>
  <c r="D65" s="1"/>
  <c r="C64"/>
  <c r="D64" s="1"/>
  <c r="C63"/>
  <c r="D63" s="1"/>
  <c r="C61"/>
  <c r="D61" s="1"/>
  <c r="C60"/>
  <c r="D60" s="1"/>
  <c r="C59"/>
  <c r="D59" s="1"/>
  <c r="A57"/>
  <c r="C57" s="1"/>
  <c r="C56"/>
  <c r="C5" i="18"/>
  <c r="H7"/>
  <c r="I7" s="1"/>
  <c r="J7" s="1"/>
  <c r="H8"/>
  <c r="I8" s="1"/>
  <c r="J8" s="1"/>
  <c r="H9"/>
  <c r="I9" s="1"/>
  <c r="J9" s="1"/>
  <c r="H10"/>
  <c r="I10" s="1"/>
  <c r="J10" s="1"/>
  <c r="H11"/>
  <c r="I11"/>
  <c r="J11" s="1"/>
  <c r="H12"/>
  <c r="I12" s="1"/>
  <c r="J12" s="1"/>
  <c r="H13"/>
  <c r="I13" s="1"/>
  <c r="J13" s="1"/>
  <c r="H14"/>
  <c r="I14" s="1"/>
  <c r="J14" s="1"/>
  <c r="H15"/>
  <c r="I15" s="1"/>
  <c r="J15" s="1"/>
  <c r="H16"/>
  <c r="I16" s="1"/>
  <c r="J16" s="1"/>
  <c r="H17"/>
  <c r="I17" s="1"/>
  <c r="J17" s="1"/>
  <c r="H18"/>
  <c r="I18" s="1"/>
  <c r="J18" s="1"/>
  <c r="H19"/>
  <c r="I19"/>
  <c r="J19" s="1"/>
  <c r="H20"/>
  <c r="I20" s="1"/>
  <c r="J20" s="1"/>
  <c r="H21"/>
  <c r="I21" s="1"/>
  <c r="J21" s="1"/>
  <c r="L75" i="14" l="1"/>
  <c r="F77"/>
  <c r="Q97"/>
  <c r="J48" i="13"/>
  <c r="I48"/>
  <c r="K48" s="1"/>
  <c r="J47"/>
  <c r="I47"/>
  <c r="K47" s="1"/>
  <c r="J46"/>
  <c r="I46"/>
  <c r="K46" s="1"/>
  <c r="J45"/>
  <c r="I45"/>
  <c r="K45" s="1"/>
  <c r="J44"/>
  <c r="I44"/>
  <c r="K44" s="1"/>
  <c r="J43"/>
  <c r="I43"/>
  <c r="K43" s="1"/>
  <c r="J42"/>
  <c r="I42"/>
  <c r="K42" s="1"/>
  <c r="J41"/>
  <c r="I41"/>
  <c r="K41" s="1"/>
  <c r="J40"/>
  <c r="I40"/>
  <c r="K40" s="1"/>
  <c r="J39"/>
  <c r="I39"/>
  <c r="K39" s="1"/>
  <c r="J38"/>
  <c r="I38"/>
  <c r="K38" s="1"/>
  <c r="J37"/>
  <c r="I37"/>
  <c r="K37" s="1"/>
  <c r="J36"/>
  <c r="I36"/>
  <c r="K36" s="1"/>
  <c r="J35"/>
  <c r="I35"/>
  <c r="K35" s="1"/>
  <c r="J34"/>
  <c r="I34"/>
  <c r="K34" s="1"/>
  <c r="J33"/>
  <c r="I33"/>
  <c r="K33" s="1"/>
  <c r="J32"/>
  <c r="I32"/>
  <c r="K32" s="1"/>
  <c r="J31"/>
  <c r="I31"/>
  <c r="K31" s="1"/>
  <c r="J30"/>
  <c r="I30"/>
  <c r="K30" s="1"/>
  <c r="J29"/>
  <c r="I29"/>
  <c r="K29" s="1"/>
  <c r="J28"/>
  <c r="I28"/>
  <c r="K28" s="1"/>
  <c r="J27"/>
  <c r="I27"/>
  <c r="K27" s="1"/>
  <c r="J26"/>
  <c r="I26"/>
  <c r="K26" s="1"/>
  <c r="J25"/>
  <c r="I25"/>
  <c r="K25" s="1"/>
  <c r="J24"/>
  <c r="I24"/>
  <c r="K24" s="1"/>
  <c r="J23"/>
  <c r="I23"/>
  <c r="K23" s="1"/>
  <c r="J22"/>
  <c r="I22"/>
  <c r="K22" s="1"/>
  <c r="J21"/>
  <c r="I21"/>
  <c r="K21" s="1"/>
  <c r="J20"/>
  <c r="I20"/>
  <c r="K20" s="1"/>
  <c r="J19"/>
  <c r="I19"/>
  <c r="K19" s="1"/>
  <c r="J18"/>
  <c r="I18"/>
  <c r="K18" s="1"/>
  <c r="J17"/>
  <c r="I17"/>
  <c r="K17" s="1"/>
  <c r="J16"/>
  <c r="I16"/>
  <c r="K16" s="1"/>
  <c r="J15"/>
  <c r="I15"/>
  <c r="K15" s="1"/>
  <c r="J14"/>
  <c r="I14"/>
  <c r="K14" s="1"/>
  <c r="J13"/>
  <c r="I13"/>
  <c r="K13" s="1"/>
  <c r="J12"/>
  <c r="I12"/>
  <c r="K12" s="1"/>
  <c r="J11"/>
  <c r="I11"/>
  <c r="K11" s="1"/>
  <c r="D83"/>
  <c r="A83" s="1"/>
  <c r="A82"/>
  <c r="J21" i="17"/>
  <c r="A6"/>
  <c r="A5"/>
  <c r="R49"/>
  <c r="R50" s="1"/>
  <c r="R51" s="1"/>
  <c r="R52" s="1"/>
  <c r="R53" s="1"/>
  <c r="R54" s="1"/>
  <c r="R55" s="1"/>
  <c r="R56" s="1"/>
  <c r="R57" s="1"/>
  <c r="R58" s="1"/>
  <c r="O49"/>
  <c r="O50" s="1"/>
  <c r="O51" s="1"/>
  <c r="O52" s="1"/>
  <c r="O53" s="1"/>
  <c r="O54" s="1"/>
  <c r="O55" s="1"/>
  <c r="O56" s="1"/>
  <c r="O57" s="1"/>
  <c r="O58" s="1"/>
  <c r="P48"/>
  <c r="M49"/>
  <c r="M50" s="1"/>
  <c r="M51" s="1"/>
  <c r="M52" s="1"/>
  <c r="M53" s="1"/>
  <c r="M54" s="1"/>
  <c r="M55" s="1"/>
  <c r="M56" s="1"/>
  <c r="M57" s="1"/>
  <c r="M58" s="1"/>
  <c r="H6"/>
  <c r="C41"/>
  <c r="C40"/>
  <c r="O18"/>
  <c r="O17"/>
  <c r="O16"/>
  <c r="O15"/>
  <c r="O14"/>
  <c r="O13"/>
  <c r="O12"/>
  <c r="O11"/>
  <c r="P38"/>
  <c r="R38" s="1"/>
  <c r="R40" s="1"/>
  <c r="E41"/>
  <c r="I34" s="1"/>
  <c r="E40"/>
  <c r="J33" s="1"/>
  <c r="J27"/>
  <c r="I27"/>
  <c r="H27"/>
  <c r="G27"/>
  <c r="F27"/>
  <c r="J26"/>
  <c r="I26"/>
  <c r="H26"/>
  <c r="G26"/>
  <c r="F26"/>
  <c r="C24"/>
  <c r="E24" s="1"/>
  <c r="B4"/>
  <c r="B5"/>
  <c r="M5"/>
  <c r="B6"/>
  <c r="M8"/>
  <c r="L8"/>
  <c r="N11"/>
  <c r="Q11"/>
  <c r="R11"/>
  <c r="S11"/>
  <c r="T11" s="1"/>
  <c r="N12"/>
  <c r="Q12"/>
  <c r="R12"/>
  <c r="S12"/>
  <c r="T12" s="1"/>
  <c r="N13"/>
  <c r="Q13"/>
  <c r="R13"/>
  <c r="S13"/>
  <c r="T13" s="1"/>
  <c r="N14"/>
  <c r="Q14"/>
  <c r="R14"/>
  <c r="S14"/>
  <c r="T14"/>
  <c r="N15"/>
  <c r="Q15"/>
  <c r="R15"/>
  <c r="S15"/>
  <c r="T15" s="1"/>
  <c r="N16"/>
  <c r="Q16"/>
  <c r="R16"/>
  <c r="S16"/>
  <c r="T16" s="1"/>
  <c r="N17"/>
  <c r="Q17"/>
  <c r="R17"/>
  <c r="S17"/>
  <c r="T17" s="1"/>
  <c r="N18"/>
  <c r="Q18"/>
  <c r="R18"/>
  <c r="S18"/>
  <c r="T18" s="1"/>
  <c r="L239" i="15"/>
  <c r="Z92"/>
  <c r="Z91"/>
  <c r="Z90"/>
  <c r="V92"/>
  <c r="V91"/>
  <c r="V90"/>
  <c r="X99"/>
  <c r="S99"/>
  <c r="X98"/>
  <c r="S98"/>
  <c r="S97"/>
  <c r="X97" s="1"/>
  <c r="T96"/>
  <c r="Y96" s="1"/>
  <c r="W92" s="1"/>
  <c r="X92" s="1"/>
  <c r="T95"/>
  <c r="Y95" s="1"/>
  <c r="Y93"/>
  <c r="T94"/>
  <c r="Y94" s="1"/>
  <c r="W90" s="1"/>
  <c r="X90" s="1"/>
  <c r="M67"/>
  <c r="L67"/>
  <c r="K67"/>
  <c r="J67"/>
  <c r="I67"/>
  <c r="H67"/>
  <c r="G67"/>
  <c r="F67"/>
  <c r="E67"/>
  <c r="D67"/>
  <c r="C67"/>
  <c r="B67"/>
  <c r="C69"/>
  <c r="D69" s="1"/>
  <c r="E69" s="1"/>
  <c r="F69" s="1"/>
  <c r="G69" s="1"/>
  <c r="H69" s="1"/>
  <c r="I69" s="1"/>
  <c r="J69" s="1"/>
  <c r="K69" s="1"/>
  <c r="L69" s="1"/>
  <c r="M69" s="1"/>
  <c r="C68"/>
  <c r="D68" s="1"/>
  <c r="E68" s="1"/>
  <c r="F68" s="1"/>
  <c r="G68" s="1"/>
  <c r="H68" s="1"/>
  <c r="I68" s="1"/>
  <c r="J68" s="1"/>
  <c r="K68" s="1"/>
  <c r="L68" s="1"/>
  <c r="M68" s="1"/>
  <c r="V241"/>
  <c r="V240"/>
  <c r="V239"/>
  <c r="L321"/>
  <c r="G321"/>
  <c r="I321" s="1"/>
  <c r="L316"/>
  <c r="G316"/>
  <c r="I316" s="1"/>
  <c r="G317"/>
  <c r="L317"/>
  <c r="G318"/>
  <c r="I318" s="1"/>
  <c r="L318"/>
  <c r="G319"/>
  <c r="I319" s="1"/>
  <c r="L319"/>
  <c r="G320"/>
  <c r="I320" s="1"/>
  <c r="L320"/>
  <c r="L315"/>
  <c r="L314"/>
  <c r="L313"/>
  <c r="G315"/>
  <c r="I315" s="1"/>
  <c r="G314"/>
  <c r="I314" s="1"/>
  <c r="G313"/>
  <c r="I313" s="1"/>
  <c r="G293"/>
  <c r="I293" s="1"/>
  <c r="G294"/>
  <c r="I294" s="1"/>
  <c r="R241"/>
  <c r="R240"/>
  <c r="R239"/>
  <c r="M235"/>
  <c r="O235" s="1"/>
  <c r="E244"/>
  <c r="E245"/>
  <c r="E318" s="1"/>
  <c r="D318" s="1"/>
  <c r="AG4" i="1"/>
  <c r="G235" i="15"/>
  <c r="I235" s="1"/>
  <c r="G292"/>
  <c r="I292" s="1"/>
  <c r="G291"/>
  <c r="I291" s="1"/>
  <c r="G290"/>
  <c r="I290" s="1"/>
  <c r="G289"/>
  <c r="I289" s="1"/>
  <c r="G287"/>
  <c r="I287" s="1"/>
  <c r="G286"/>
  <c r="I286" s="1"/>
  <c r="G285"/>
  <c r="I285" s="1"/>
  <c r="G284"/>
  <c r="I284" s="1"/>
  <c r="G283"/>
  <c r="I283" s="1"/>
  <c r="G282"/>
  <c r="I282" s="1"/>
  <c r="G280"/>
  <c r="I280" s="1"/>
  <c r="G279"/>
  <c r="I279" s="1"/>
  <c r="G278"/>
  <c r="I278" s="1"/>
  <c r="G277"/>
  <c r="I277" s="1"/>
  <c r="G276"/>
  <c r="I276" s="1"/>
  <c r="G275"/>
  <c r="I275" s="1"/>
  <c r="G273"/>
  <c r="I273" s="1"/>
  <c r="G272"/>
  <c r="I272" s="1"/>
  <c r="G271"/>
  <c r="I271" s="1"/>
  <c r="G270"/>
  <c r="I270" s="1"/>
  <c r="G269"/>
  <c r="I269" s="1"/>
  <c r="G268"/>
  <c r="I268" s="1"/>
  <c r="G266"/>
  <c r="I266" s="1"/>
  <c r="G265"/>
  <c r="I265" s="1"/>
  <c r="G264"/>
  <c r="I264" s="1"/>
  <c r="G263"/>
  <c r="I263" s="1"/>
  <c r="G262"/>
  <c r="I262" s="1"/>
  <c r="G261"/>
  <c r="I261" s="1"/>
  <c r="G259"/>
  <c r="I259" s="1"/>
  <c r="G258"/>
  <c r="I258" s="1"/>
  <c r="G257"/>
  <c r="I257" s="1"/>
  <c r="G256"/>
  <c r="I256" s="1"/>
  <c r="G255"/>
  <c r="I255" s="1"/>
  <c r="G254"/>
  <c r="I254" s="1"/>
  <c r="G252"/>
  <c r="I252" s="1"/>
  <c r="G251"/>
  <c r="I251" s="1"/>
  <c r="G250"/>
  <c r="I250" s="1"/>
  <c r="G249"/>
  <c r="I249" s="1"/>
  <c r="G248"/>
  <c r="I248" s="1"/>
  <c r="G247"/>
  <c r="I247" s="1"/>
  <c r="C75"/>
  <c r="L165"/>
  <c r="K165"/>
  <c r="J165"/>
  <c r="I165"/>
  <c r="H171"/>
  <c r="H170"/>
  <c r="L171"/>
  <c r="K171"/>
  <c r="J171"/>
  <c r="I171"/>
  <c r="L170"/>
  <c r="K170"/>
  <c r="J170"/>
  <c r="I170"/>
  <c r="L167"/>
  <c r="K167"/>
  <c r="J167"/>
  <c r="I167"/>
  <c r="L166"/>
  <c r="R165" s="1"/>
  <c r="K166"/>
  <c r="Q165" s="1"/>
  <c r="J166"/>
  <c r="P165" s="1"/>
  <c r="I166"/>
  <c r="O165" s="1"/>
  <c r="L169"/>
  <c r="K169"/>
  <c r="J169"/>
  <c r="I169"/>
  <c r="L168"/>
  <c r="K168"/>
  <c r="J168"/>
  <c r="I168"/>
  <c r="F218"/>
  <c r="C218"/>
  <c r="F217"/>
  <c r="C217"/>
  <c r="F216"/>
  <c r="C216"/>
  <c r="F215"/>
  <c r="C215"/>
  <c r="F214"/>
  <c r="C214"/>
  <c r="F213"/>
  <c r="C213"/>
  <c r="F212"/>
  <c r="C212"/>
  <c r="F208"/>
  <c r="E208"/>
  <c r="F207"/>
  <c r="E207"/>
  <c r="F206"/>
  <c r="E206"/>
  <c r="F205"/>
  <c r="E205"/>
  <c r="F204"/>
  <c r="E204"/>
  <c r="F203"/>
  <c r="E203"/>
  <c r="F202"/>
  <c r="E202"/>
  <c r="F198"/>
  <c r="E198"/>
  <c r="F197"/>
  <c r="E197"/>
  <c r="F196"/>
  <c r="E196"/>
  <c r="F195"/>
  <c r="E195"/>
  <c r="F194"/>
  <c r="E194"/>
  <c r="F193"/>
  <c r="E193"/>
  <c r="F192"/>
  <c r="E192"/>
  <c r="Y188"/>
  <c r="S188"/>
  <c r="R188"/>
  <c r="P188"/>
  <c r="Q188" s="1"/>
  <c r="L188"/>
  <c r="F188"/>
  <c r="E188"/>
  <c r="Y187"/>
  <c r="S187"/>
  <c r="R187"/>
  <c r="P187"/>
  <c r="Q187" s="1"/>
  <c r="L187"/>
  <c r="F187"/>
  <c r="G187" s="1"/>
  <c r="H187" s="1"/>
  <c r="I187" s="1"/>
  <c r="J187" s="1"/>
  <c r="E187"/>
  <c r="Y186"/>
  <c r="S186"/>
  <c r="R186"/>
  <c r="P186"/>
  <c r="Q186" s="1"/>
  <c r="L186"/>
  <c r="F186"/>
  <c r="G186" s="1"/>
  <c r="H186" s="1"/>
  <c r="I186" s="1"/>
  <c r="J186" s="1"/>
  <c r="E186"/>
  <c r="Y185"/>
  <c r="S185"/>
  <c r="R185"/>
  <c r="P185"/>
  <c r="Q185" s="1"/>
  <c r="L185"/>
  <c r="F185"/>
  <c r="G185" s="1"/>
  <c r="H185" s="1"/>
  <c r="I185" s="1"/>
  <c r="J185" s="1"/>
  <c r="E185"/>
  <c r="Y184"/>
  <c r="S184"/>
  <c r="R184"/>
  <c r="P184"/>
  <c r="Q184" s="1"/>
  <c r="L184"/>
  <c r="F184"/>
  <c r="E184"/>
  <c r="Y183"/>
  <c r="S183"/>
  <c r="R183"/>
  <c r="P183"/>
  <c r="Q183" s="1"/>
  <c r="L183"/>
  <c r="F183"/>
  <c r="G183" s="1"/>
  <c r="H183" s="1"/>
  <c r="I183" s="1"/>
  <c r="J183" s="1"/>
  <c r="E183"/>
  <c r="Y182"/>
  <c r="S182"/>
  <c r="R182"/>
  <c r="P182"/>
  <c r="Q182" s="1"/>
  <c r="L182"/>
  <c r="F182"/>
  <c r="G182" s="1"/>
  <c r="H182" s="1"/>
  <c r="I182" s="1"/>
  <c r="J182" s="1"/>
  <c r="E182"/>
  <c r="E181"/>
  <c r="AA180"/>
  <c r="AA177"/>
  <c r="Z177"/>
  <c r="L162"/>
  <c r="K162"/>
  <c r="J162"/>
  <c r="I162"/>
  <c r="L161"/>
  <c r="K161"/>
  <c r="J161"/>
  <c r="I161"/>
  <c r="L159"/>
  <c r="K159"/>
  <c r="J159"/>
  <c r="I159"/>
  <c r="L158"/>
  <c r="K158"/>
  <c r="J158"/>
  <c r="I158"/>
  <c r="L157"/>
  <c r="K157"/>
  <c r="J157"/>
  <c r="I157"/>
  <c r="L156"/>
  <c r="K156"/>
  <c r="J156"/>
  <c r="I156"/>
  <c r="L155"/>
  <c r="K155"/>
  <c r="J155"/>
  <c r="I155"/>
  <c r="L154"/>
  <c r="K154"/>
  <c r="J154"/>
  <c r="I154"/>
  <c r="L153"/>
  <c r="K153"/>
  <c r="J153"/>
  <c r="I153"/>
  <c r="L152"/>
  <c r="K152"/>
  <c r="J152"/>
  <c r="I152"/>
  <c r="L151"/>
  <c r="K151"/>
  <c r="J151"/>
  <c r="I151"/>
  <c r="L150"/>
  <c r="L164" s="1"/>
  <c r="Y165" s="1"/>
  <c r="K150"/>
  <c r="J150"/>
  <c r="J164" s="1"/>
  <c r="W165" s="1"/>
  <c r="I150"/>
  <c r="N58" i="1"/>
  <c r="N57"/>
  <c r="N56"/>
  <c r="N55"/>
  <c r="N54"/>
  <c r="N53"/>
  <c r="M5" i="16"/>
  <c r="L5"/>
  <c r="K5"/>
  <c r="J5"/>
  <c r="I5"/>
  <c r="H5"/>
  <c r="G5"/>
  <c r="F5"/>
  <c r="E5"/>
  <c r="D5"/>
  <c r="C5"/>
  <c r="B5"/>
  <c r="B10"/>
  <c r="C10"/>
  <c r="D10"/>
  <c r="E10"/>
  <c r="F10"/>
  <c r="G10"/>
  <c r="H10"/>
  <c r="I10"/>
  <c r="J10"/>
  <c r="K10"/>
  <c r="L10"/>
  <c r="F15"/>
  <c r="D16"/>
  <c r="F16" s="1"/>
  <c r="D21"/>
  <c r="F21" s="1"/>
  <c r="F104" i="15"/>
  <c r="D104"/>
  <c r="B105"/>
  <c r="C107"/>
  <c r="B107"/>
  <c r="B108" s="1"/>
  <c r="C84"/>
  <c r="B84"/>
  <c r="CO15"/>
  <c r="CO18"/>
  <c r="CO19"/>
  <c r="CO20"/>
  <c r="AA51"/>
  <c r="AG51"/>
  <c r="AA52"/>
  <c r="AG52"/>
  <c r="AB53"/>
  <c r="AC53"/>
  <c r="AD53"/>
  <c r="AF53"/>
  <c r="AG53"/>
  <c r="AH53"/>
  <c r="AA54"/>
  <c r="AB54"/>
  <c r="AC54"/>
  <c r="AD54"/>
  <c r="AE54"/>
  <c r="AE58" s="1"/>
  <c r="AG58" s="1"/>
  <c r="AF54"/>
  <c r="AG54"/>
  <c r="AH54"/>
  <c r="AA55"/>
  <c r="AA59" s="1"/>
  <c r="AB55"/>
  <c r="AC55"/>
  <c r="AD55"/>
  <c r="AE55"/>
  <c r="AE59" s="1"/>
  <c r="AF55"/>
  <c r="AG55"/>
  <c r="AH55"/>
  <c r="AA56"/>
  <c r="AA60" s="1"/>
  <c r="AC60" s="1"/>
  <c r="AB56"/>
  <c r="AC56"/>
  <c r="AD56"/>
  <c r="AA58"/>
  <c r="AC58" s="1"/>
  <c r="C79"/>
  <c r="D79" s="1"/>
  <c r="E79" s="1"/>
  <c r="F79" s="1"/>
  <c r="G79" s="1"/>
  <c r="H79" s="1"/>
  <c r="I79" s="1"/>
  <c r="J79" s="1"/>
  <c r="K79" s="1"/>
  <c r="L79" s="1"/>
  <c r="M79" s="1"/>
  <c r="E52" i="14"/>
  <c r="E51"/>
  <c r="H51" s="1"/>
  <c r="J51" s="1"/>
  <c r="K51" s="1"/>
  <c r="H52"/>
  <c r="J52" s="1"/>
  <c r="K52" s="1"/>
  <c r="E27"/>
  <c r="H27" s="1"/>
  <c r="J27" s="1"/>
  <c r="K27" s="1"/>
  <c r="E26"/>
  <c r="H26" s="1"/>
  <c r="J26" s="1"/>
  <c r="K26" s="1"/>
  <c r="E25"/>
  <c r="H25" s="1"/>
  <c r="J25" s="1"/>
  <c r="K25" s="1"/>
  <c r="K29" s="1"/>
  <c r="A7" i="15"/>
  <c r="B7"/>
  <c r="C7"/>
  <c r="D7"/>
  <c r="E7"/>
  <c r="F7"/>
  <c r="G7"/>
  <c r="H7"/>
  <c r="I7"/>
  <c r="J7"/>
  <c r="K7"/>
  <c r="L7"/>
  <c r="M7"/>
  <c r="N7"/>
  <c r="O7"/>
  <c r="U7"/>
  <c r="V7"/>
  <c r="W7"/>
  <c r="X7"/>
  <c r="Y7"/>
  <c r="Z7"/>
  <c r="AA7"/>
  <c r="AB7"/>
  <c r="AC7"/>
  <c r="AD7"/>
  <c r="AE7"/>
  <c r="AF7"/>
  <c r="AG7"/>
  <c r="AH7"/>
  <c r="AI7"/>
  <c r="AJ7"/>
  <c r="AK7"/>
  <c r="AL7"/>
  <c r="AM7"/>
  <c r="AN7"/>
  <c r="A8"/>
  <c r="B8"/>
  <c r="C8"/>
  <c r="D8"/>
  <c r="E8"/>
  <c r="F8"/>
  <c r="G8"/>
  <c r="H8"/>
  <c r="I8"/>
  <c r="J8"/>
  <c r="K8"/>
  <c r="L8"/>
  <c r="M8"/>
  <c r="N8"/>
  <c r="O8"/>
  <c r="U8"/>
  <c r="V8"/>
  <c r="W8"/>
  <c r="X8"/>
  <c r="Y8"/>
  <c r="Z8"/>
  <c r="AA8"/>
  <c r="AB8"/>
  <c r="AC8"/>
  <c r="AD8"/>
  <c r="AE8"/>
  <c r="AF8"/>
  <c r="AG8"/>
  <c r="AH8"/>
  <c r="AI8"/>
  <c r="AJ8"/>
  <c r="AK8"/>
  <c r="AL8"/>
  <c r="AM8"/>
  <c r="AN8"/>
  <c r="A9"/>
  <c r="B9"/>
  <c r="C9"/>
  <c r="D9"/>
  <c r="E9"/>
  <c r="F9"/>
  <c r="G9"/>
  <c r="H9"/>
  <c r="I9"/>
  <c r="J9"/>
  <c r="K9"/>
  <c r="L9"/>
  <c r="M9"/>
  <c r="N9"/>
  <c r="O9"/>
  <c r="U9"/>
  <c r="V9"/>
  <c r="W9"/>
  <c r="X9"/>
  <c r="Y9"/>
  <c r="Z9"/>
  <c r="AA9"/>
  <c r="AB9"/>
  <c r="AC9"/>
  <c r="AD9"/>
  <c r="AE9"/>
  <c r="AF9"/>
  <c r="AG9"/>
  <c r="AH9"/>
  <c r="AI9"/>
  <c r="AJ9"/>
  <c r="AK9"/>
  <c r="AL9"/>
  <c r="AM9"/>
  <c r="AN9"/>
  <c r="A10"/>
  <c r="B10"/>
  <c r="C10"/>
  <c r="D10"/>
  <c r="E10"/>
  <c r="F10"/>
  <c r="G10"/>
  <c r="H10"/>
  <c r="I10"/>
  <c r="J10"/>
  <c r="K10"/>
  <c r="L10"/>
  <c r="M10"/>
  <c r="N10"/>
  <c r="O10"/>
  <c r="U10"/>
  <c r="V10"/>
  <c r="W10"/>
  <c r="X10"/>
  <c r="Y10"/>
  <c r="Z10"/>
  <c r="AA10"/>
  <c r="AB10"/>
  <c r="AC10"/>
  <c r="AD10"/>
  <c r="AE10"/>
  <c r="AF10"/>
  <c r="AG10"/>
  <c r="AH10"/>
  <c r="AI10"/>
  <c r="AJ10"/>
  <c r="AK10"/>
  <c r="AL10"/>
  <c r="AM10"/>
  <c r="AN10"/>
  <c r="A11"/>
  <c r="B11"/>
  <c r="C11"/>
  <c r="D11"/>
  <c r="E11"/>
  <c r="F11"/>
  <c r="G11"/>
  <c r="H11"/>
  <c r="I11"/>
  <c r="J11"/>
  <c r="K11"/>
  <c r="L11"/>
  <c r="M11"/>
  <c r="N11"/>
  <c r="O11"/>
  <c r="U11"/>
  <c r="V11"/>
  <c r="W11"/>
  <c r="X11"/>
  <c r="Y11"/>
  <c r="Z11"/>
  <c r="AA11"/>
  <c r="AB11"/>
  <c r="AC11"/>
  <c r="AD11"/>
  <c r="AE11"/>
  <c r="AF11"/>
  <c r="AG11"/>
  <c r="AH11"/>
  <c r="AI11"/>
  <c r="AJ11"/>
  <c r="AK11"/>
  <c r="AL11"/>
  <c r="AM11"/>
  <c r="AN11"/>
  <c r="A12"/>
  <c r="B12"/>
  <c r="C12"/>
  <c r="D12"/>
  <c r="E12"/>
  <c r="F12"/>
  <c r="G12"/>
  <c r="H12"/>
  <c r="I12"/>
  <c r="J12"/>
  <c r="K12"/>
  <c r="L12"/>
  <c r="M12"/>
  <c r="N12"/>
  <c r="O12"/>
  <c r="U12"/>
  <c r="V12"/>
  <c r="W12"/>
  <c r="X12"/>
  <c r="Y12"/>
  <c r="Z12"/>
  <c r="AA12"/>
  <c r="AB12"/>
  <c r="AC12"/>
  <c r="AD12"/>
  <c r="AE12"/>
  <c r="AF12"/>
  <c r="AG12"/>
  <c r="AH12"/>
  <c r="AI12"/>
  <c r="AJ12"/>
  <c r="AK12"/>
  <c r="AL12"/>
  <c r="AM12"/>
  <c r="AN12"/>
  <c r="A13"/>
  <c r="B13"/>
  <c r="C13"/>
  <c r="D13"/>
  <c r="E13"/>
  <c r="F13"/>
  <c r="G13"/>
  <c r="H13"/>
  <c r="I13"/>
  <c r="J13"/>
  <c r="K13"/>
  <c r="L13"/>
  <c r="M13"/>
  <c r="N13"/>
  <c r="O13"/>
  <c r="U13"/>
  <c r="V13"/>
  <c r="W13"/>
  <c r="X13"/>
  <c r="Y13"/>
  <c r="Z13"/>
  <c r="AA13"/>
  <c r="AB13"/>
  <c r="AC13"/>
  <c r="AD13"/>
  <c r="AE13"/>
  <c r="AF13"/>
  <c r="AG13"/>
  <c r="AH13"/>
  <c r="AI13"/>
  <c r="AJ13"/>
  <c r="AK13"/>
  <c r="AL13"/>
  <c r="AM13"/>
  <c r="AN13"/>
  <c r="A14"/>
  <c r="B14"/>
  <c r="C14"/>
  <c r="D14"/>
  <c r="E14"/>
  <c r="F14"/>
  <c r="G14"/>
  <c r="H14"/>
  <c r="I14"/>
  <c r="J14"/>
  <c r="K14"/>
  <c r="L14"/>
  <c r="M14"/>
  <c r="N14"/>
  <c r="O14"/>
  <c r="U14"/>
  <c r="V14"/>
  <c r="W14"/>
  <c r="X14"/>
  <c r="Y14"/>
  <c r="Z14"/>
  <c r="AA14"/>
  <c r="AB14"/>
  <c r="AC14"/>
  <c r="AD14"/>
  <c r="AE14"/>
  <c r="AF14"/>
  <c r="AG14"/>
  <c r="AH14"/>
  <c r="AI14"/>
  <c r="AJ14"/>
  <c r="AK14"/>
  <c r="AL14"/>
  <c r="AM14"/>
  <c r="AN14"/>
  <c r="S27"/>
  <c r="P30"/>
  <c r="S30"/>
  <c r="P33"/>
  <c r="S33"/>
  <c r="P35"/>
  <c r="P37" s="1"/>
  <c r="S35"/>
  <c r="A40"/>
  <c r="B40"/>
  <c r="C40"/>
  <c r="D40"/>
  <c r="E40"/>
  <c r="F40"/>
  <c r="G40"/>
  <c r="H40"/>
  <c r="I40"/>
  <c r="J40"/>
  <c r="K40"/>
  <c r="L40"/>
  <c r="M40"/>
  <c r="N40"/>
  <c r="O40"/>
  <c r="U40"/>
  <c r="V40"/>
  <c r="W40"/>
  <c r="X40"/>
  <c r="Y40"/>
  <c r="Z40"/>
  <c r="AA40"/>
  <c r="AB40"/>
  <c r="AC40"/>
  <c r="AD40"/>
  <c r="AE40"/>
  <c r="AF40"/>
  <c r="AG40"/>
  <c r="AH40"/>
  <c r="AI40"/>
  <c r="AJ40"/>
  <c r="AK40"/>
  <c r="AL40"/>
  <c r="AM40"/>
  <c r="AN40"/>
  <c r="A41"/>
  <c r="B41"/>
  <c r="C41"/>
  <c r="D41"/>
  <c r="E41"/>
  <c r="F41"/>
  <c r="G41"/>
  <c r="H41"/>
  <c r="I41"/>
  <c r="J41"/>
  <c r="K41"/>
  <c r="L41"/>
  <c r="M41"/>
  <c r="N41"/>
  <c r="O41"/>
  <c r="U41"/>
  <c r="V41"/>
  <c r="W41"/>
  <c r="X41"/>
  <c r="Y41"/>
  <c r="Z41"/>
  <c r="AA41"/>
  <c r="AB41"/>
  <c r="AC41"/>
  <c r="AD41"/>
  <c r="AE41"/>
  <c r="AF41"/>
  <c r="AG41"/>
  <c r="AH41"/>
  <c r="AI41"/>
  <c r="AJ41"/>
  <c r="AK41"/>
  <c r="AL41"/>
  <c r="AM41"/>
  <c r="AN41"/>
  <c r="AW6"/>
  <c r="AZ6"/>
  <c r="BH9"/>
  <c r="BK9"/>
  <c r="AS8"/>
  <c r="AT8"/>
  <c r="AV8"/>
  <c r="AZ9"/>
  <c r="AU10"/>
  <c r="AV10" s="1"/>
  <c r="BH12"/>
  <c r="BK12"/>
  <c r="AU12"/>
  <c r="AW12"/>
  <c r="AT13"/>
  <c r="AT14" s="1"/>
  <c r="AT15" s="1"/>
  <c r="F55"/>
  <c r="F56"/>
  <c r="F57"/>
  <c r="B58"/>
  <c r="E58"/>
  <c r="F58"/>
  <c r="B59"/>
  <c r="E59"/>
  <c r="F59"/>
  <c r="B60"/>
  <c r="E60"/>
  <c r="F60"/>
  <c r="B77"/>
  <c r="B80" s="1"/>
  <c r="B81" s="1"/>
  <c r="B85" s="1"/>
  <c r="B61"/>
  <c r="E61"/>
  <c r="F61"/>
  <c r="C78"/>
  <c r="D78" s="1"/>
  <c r="J3" i="14"/>
  <c r="Q3"/>
  <c r="V3"/>
  <c r="U3" s="1"/>
  <c r="E5"/>
  <c r="I5" s="1"/>
  <c r="B8"/>
  <c r="G8"/>
  <c r="H8" s="1"/>
  <c r="J8" s="1"/>
  <c r="B9"/>
  <c r="G9"/>
  <c r="H9" s="1"/>
  <c r="J9" s="1"/>
  <c r="B10"/>
  <c r="G10"/>
  <c r="H10" s="1"/>
  <c r="J10" s="1"/>
  <c r="B11"/>
  <c r="G11"/>
  <c r="H11" s="1"/>
  <c r="J11" s="1"/>
  <c r="B12"/>
  <c r="G12"/>
  <c r="H12" s="1"/>
  <c r="J12" s="1"/>
  <c r="B13"/>
  <c r="G13"/>
  <c r="H13" s="1"/>
  <c r="J13" s="1"/>
  <c r="B14"/>
  <c r="G14"/>
  <c r="H14" s="1"/>
  <c r="J14" s="1"/>
  <c r="B15"/>
  <c r="G15"/>
  <c r="H15" s="1"/>
  <c r="J15" s="1"/>
  <c r="B16"/>
  <c r="G16"/>
  <c r="H16" s="1"/>
  <c r="J16" s="1"/>
  <c r="I16"/>
  <c r="B17"/>
  <c r="G17"/>
  <c r="H17" s="1"/>
  <c r="J17" s="1"/>
  <c r="V17"/>
  <c r="W17"/>
  <c r="Z17"/>
  <c r="B18"/>
  <c r="G18"/>
  <c r="H18" s="1"/>
  <c r="J18" s="1"/>
  <c r="V18"/>
  <c r="W18"/>
  <c r="Z18"/>
  <c r="B19"/>
  <c r="G19"/>
  <c r="H19" s="1"/>
  <c r="J19" s="1"/>
  <c r="V19"/>
  <c r="W19"/>
  <c r="Z19"/>
  <c r="V20"/>
  <c r="W20"/>
  <c r="Z20"/>
  <c r="V21"/>
  <c r="W21"/>
  <c r="Z21"/>
  <c r="C20"/>
  <c r="C22" s="1"/>
  <c r="D20"/>
  <c r="E20"/>
  <c r="E21" s="1"/>
  <c r="V22"/>
  <c r="W22"/>
  <c r="Z22"/>
  <c r="V23"/>
  <c r="W23"/>
  <c r="Z23"/>
  <c r="V24"/>
  <c r="W24"/>
  <c r="V25"/>
  <c r="W25"/>
  <c r="Z25"/>
  <c r="C36"/>
  <c r="D36" s="1"/>
  <c r="G36" s="1"/>
  <c r="V26"/>
  <c r="W26"/>
  <c r="Z26"/>
  <c r="C37"/>
  <c r="D37" s="1"/>
  <c r="G37" s="1"/>
  <c r="V27"/>
  <c r="W27"/>
  <c r="Z27"/>
  <c r="C38"/>
  <c r="D38" s="1"/>
  <c r="G38" s="1"/>
  <c r="V28"/>
  <c r="W28"/>
  <c r="Z28"/>
  <c r="D39"/>
  <c r="G39" s="1"/>
  <c r="V29"/>
  <c r="W29"/>
  <c r="Z29"/>
  <c r="D40"/>
  <c r="G40" s="1"/>
  <c r="V30"/>
  <c r="W30"/>
  <c r="Z30"/>
  <c r="C41"/>
  <c r="D41" s="1"/>
  <c r="G41" s="1"/>
  <c r="V31"/>
  <c r="W31"/>
  <c r="Z31"/>
  <c r="D42"/>
  <c r="G42" s="1"/>
  <c r="H42" s="1"/>
  <c r="J42" s="1"/>
  <c r="V32"/>
  <c r="W32"/>
  <c r="D43"/>
  <c r="G43" s="1"/>
  <c r="D44"/>
  <c r="G44" s="1"/>
  <c r="H44" s="1"/>
  <c r="J44" s="1"/>
  <c r="V34"/>
  <c r="W34"/>
  <c r="Y34" s="1"/>
  <c r="AA34" s="1"/>
  <c r="Z34"/>
  <c r="V35"/>
  <c r="W35"/>
  <c r="Z35"/>
  <c r="E46"/>
  <c r="E47" s="1"/>
  <c r="V36"/>
  <c r="W36"/>
  <c r="Z36"/>
  <c r="V37"/>
  <c r="W37"/>
  <c r="Z37"/>
  <c r="V38"/>
  <c r="W38"/>
  <c r="Z38"/>
  <c r="V39"/>
  <c r="W39"/>
  <c r="Z39"/>
  <c r="V40"/>
  <c r="W40"/>
  <c r="Z40"/>
  <c r="V41"/>
  <c r="W41"/>
  <c r="V42"/>
  <c r="W42"/>
  <c r="Z42"/>
  <c r="V43"/>
  <c r="W43"/>
  <c r="Z43"/>
  <c r="V44"/>
  <c r="W44"/>
  <c r="Z44"/>
  <c r="V45"/>
  <c r="W45"/>
  <c r="Z45"/>
  <c r="V46"/>
  <c r="W46"/>
  <c r="Z46"/>
  <c r="V47"/>
  <c r="W47"/>
  <c r="Z47"/>
  <c r="V48"/>
  <c r="W48"/>
  <c r="Z48"/>
  <c r="V49"/>
  <c r="W49"/>
  <c r="V51"/>
  <c r="W51"/>
  <c r="Z51"/>
  <c r="V52"/>
  <c r="W52"/>
  <c r="Z52"/>
  <c r="V53"/>
  <c r="W53"/>
  <c r="Z53"/>
  <c r="V54"/>
  <c r="W54"/>
  <c r="Z54"/>
  <c r="V55"/>
  <c r="W55"/>
  <c r="Z55"/>
  <c r="V56"/>
  <c r="W56"/>
  <c r="Z56"/>
  <c r="V57"/>
  <c r="W57"/>
  <c r="Z57"/>
  <c r="V58"/>
  <c r="V59"/>
  <c r="W59"/>
  <c r="Z59"/>
  <c r="V60"/>
  <c r="W60"/>
  <c r="Z60"/>
  <c r="V61"/>
  <c r="W61"/>
  <c r="Z61"/>
  <c r="V62"/>
  <c r="W62"/>
  <c r="Z62"/>
  <c r="V63"/>
  <c r="W63"/>
  <c r="Z63"/>
  <c r="V64"/>
  <c r="W64"/>
  <c r="Z64"/>
  <c r="V65"/>
  <c r="W65"/>
  <c r="Z65"/>
  <c r="V67"/>
  <c r="AB67" s="1"/>
  <c r="B42" i="15" l="1"/>
  <c r="P7"/>
  <c r="D17" i="16"/>
  <c r="C318" i="15"/>
  <c r="A318" s="1"/>
  <c r="M318" s="1"/>
  <c r="AA90"/>
  <c r="AA91"/>
  <c r="W91"/>
  <c r="X91" s="1"/>
  <c r="L11" i="13"/>
  <c r="L13"/>
  <c r="L15"/>
  <c r="L17"/>
  <c r="L19"/>
  <c r="L21"/>
  <c r="L23"/>
  <c r="L25"/>
  <c r="L27"/>
  <c r="L29"/>
  <c r="L31"/>
  <c r="L33"/>
  <c r="L35"/>
  <c r="L37"/>
  <c r="L39"/>
  <c r="L41"/>
  <c r="L43"/>
  <c r="L45"/>
  <c r="L47"/>
  <c r="Y90" i="15"/>
  <c r="Y91"/>
  <c r="AB90"/>
  <c r="AB91"/>
  <c r="J31" i="17"/>
  <c r="H31"/>
  <c r="F31"/>
  <c r="I31"/>
  <c r="G31"/>
  <c r="L12" i="13"/>
  <c r="L14"/>
  <c r="L16"/>
  <c r="L18"/>
  <c r="L20"/>
  <c r="L22"/>
  <c r="L24"/>
  <c r="L26"/>
  <c r="L28"/>
  <c r="L30"/>
  <c r="L32"/>
  <c r="L34"/>
  <c r="L36"/>
  <c r="L38"/>
  <c r="L40"/>
  <c r="L42"/>
  <c r="L44"/>
  <c r="L46"/>
  <c r="L48"/>
  <c r="E28" i="17"/>
  <c r="C46" i="14"/>
  <c r="C48" s="1"/>
  <c r="I12"/>
  <c r="AM42" i="15"/>
  <c r="AK42"/>
  <c r="AI42"/>
  <c r="AG42"/>
  <c r="AE42"/>
  <c r="AC42"/>
  <c r="AA42"/>
  <c r="Y42"/>
  <c r="W42"/>
  <c r="U42"/>
  <c r="N42"/>
  <c r="L42"/>
  <c r="J42"/>
  <c r="H42"/>
  <c r="F42"/>
  <c r="D42"/>
  <c r="P9"/>
  <c r="D22" i="16"/>
  <c r="F22" s="1"/>
  <c r="N63" i="1"/>
  <c r="D18" i="20"/>
  <c r="D16"/>
  <c r="D14"/>
  <c r="D12"/>
  <c r="D17"/>
  <c r="D15"/>
  <c r="D13"/>
  <c r="D11"/>
  <c r="E11" s="1"/>
  <c r="D7" s="1"/>
  <c r="K7" s="1"/>
  <c r="Y26" i="14"/>
  <c r="AB26" s="1"/>
  <c r="Y23"/>
  <c r="Y20"/>
  <c r="I14"/>
  <c r="I10"/>
  <c r="Y65"/>
  <c r="AB65" s="1"/>
  <c r="Y63"/>
  <c r="AB63" s="1"/>
  <c r="Y61"/>
  <c r="AB61" s="1"/>
  <c r="Y59"/>
  <c r="AB59" s="1"/>
  <c r="Y57"/>
  <c r="AB57" s="1"/>
  <c r="Y55"/>
  <c r="AB55" s="1"/>
  <c r="Y53"/>
  <c r="AB53" s="1"/>
  <c r="Y51"/>
  <c r="AB51" s="1"/>
  <c r="Y40"/>
  <c r="AB40" s="1"/>
  <c r="Y38"/>
  <c r="AB38" s="1"/>
  <c r="Y37"/>
  <c r="Y35"/>
  <c r="AA23"/>
  <c r="AA20"/>
  <c r="Y48"/>
  <c r="AB48" s="1"/>
  <c r="Y46"/>
  <c r="AB46" s="1"/>
  <c r="Y44"/>
  <c r="AB44" s="1"/>
  <c r="Y42"/>
  <c r="AB42" s="1"/>
  <c r="Y30"/>
  <c r="AB30" s="1"/>
  <c r="Y29"/>
  <c r="AA29" s="1"/>
  <c r="Y28"/>
  <c r="AB28" s="1"/>
  <c r="Y22"/>
  <c r="AB22" s="1"/>
  <c r="Y21"/>
  <c r="Y19"/>
  <c r="I19"/>
  <c r="Y18"/>
  <c r="AB18" s="1"/>
  <c r="I18"/>
  <c r="Y17"/>
  <c r="I17"/>
  <c r="I15"/>
  <c r="I13"/>
  <c r="I11"/>
  <c r="I9"/>
  <c r="D84" i="13"/>
  <c r="R46" i="17"/>
  <c r="Q49"/>
  <c r="N49"/>
  <c r="I33"/>
  <c r="G33"/>
  <c r="F34"/>
  <c r="H34"/>
  <c r="J34"/>
  <c r="F33"/>
  <c r="H33"/>
  <c r="G34"/>
  <c r="B74" i="15"/>
  <c r="B72"/>
  <c r="B66" s="1"/>
  <c r="K318"/>
  <c r="N318" s="1"/>
  <c r="G309"/>
  <c r="F309" s="1"/>
  <c r="G307"/>
  <c r="F307" s="1"/>
  <c r="G305"/>
  <c r="F305" s="1"/>
  <c r="G301"/>
  <c r="K301" s="1"/>
  <c r="G299"/>
  <c r="K299" s="1"/>
  <c r="G297"/>
  <c r="K297" s="1"/>
  <c r="E314"/>
  <c r="E316"/>
  <c r="G310"/>
  <c r="F310" s="1"/>
  <c r="G308"/>
  <c r="F308" s="1"/>
  <c r="G306"/>
  <c r="F306" s="1"/>
  <c r="G304"/>
  <c r="F304" s="1"/>
  <c r="G302"/>
  <c r="K302" s="1"/>
  <c r="G300"/>
  <c r="K300" s="1"/>
  <c r="G298"/>
  <c r="K298" s="1"/>
  <c r="G296"/>
  <c r="K296" s="1"/>
  <c r="E320"/>
  <c r="E319"/>
  <c r="E317"/>
  <c r="E321"/>
  <c r="I317"/>
  <c r="J318"/>
  <c r="E313"/>
  <c r="E315"/>
  <c r="I310"/>
  <c r="J310" s="1"/>
  <c r="I308"/>
  <c r="J308" s="1"/>
  <c r="I306"/>
  <c r="J306" s="1"/>
  <c r="I304"/>
  <c r="J304" s="1"/>
  <c r="E294"/>
  <c r="I307"/>
  <c r="J307" s="1"/>
  <c r="E247"/>
  <c r="E249"/>
  <c r="E251"/>
  <c r="E254"/>
  <c r="E256"/>
  <c r="E258"/>
  <c r="E261"/>
  <c r="E263"/>
  <c r="E265"/>
  <c r="E268"/>
  <c r="E270"/>
  <c r="E272"/>
  <c r="E275"/>
  <c r="E277"/>
  <c r="E279"/>
  <c r="E282"/>
  <c r="E284"/>
  <c r="E286"/>
  <c r="E289"/>
  <c r="E291"/>
  <c r="E293"/>
  <c r="E248"/>
  <c r="E250"/>
  <c r="E252"/>
  <c r="E255"/>
  <c r="E257"/>
  <c r="E259"/>
  <c r="E262"/>
  <c r="E264"/>
  <c r="E266"/>
  <c r="E269"/>
  <c r="E271"/>
  <c r="E273"/>
  <c r="E276"/>
  <c r="E278"/>
  <c r="E280"/>
  <c r="E283"/>
  <c r="E285"/>
  <c r="E287"/>
  <c r="E290"/>
  <c r="E292"/>
  <c r="B73"/>
  <c r="D75"/>
  <c r="E75" s="1"/>
  <c r="F75" s="1"/>
  <c r="G75" s="1"/>
  <c r="H75" s="1"/>
  <c r="I75" s="1"/>
  <c r="J75" s="1"/>
  <c r="K75" s="1"/>
  <c r="L75" s="1"/>
  <c r="M75" s="1"/>
  <c r="C77"/>
  <c r="C80" s="1"/>
  <c r="I164"/>
  <c r="V165" s="1"/>
  <c r="K164"/>
  <c r="X165" s="1"/>
  <c r="BK14"/>
  <c r="AA182"/>
  <c r="AA186"/>
  <c r="B103"/>
  <c r="Z184"/>
  <c r="AA184"/>
  <c r="Z188"/>
  <c r="AA188"/>
  <c r="AA183"/>
  <c r="AA185"/>
  <c r="AA187"/>
  <c r="Z182"/>
  <c r="G184"/>
  <c r="H184" s="1"/>
  <c r="I184" s="1"/>
  <c r="J184" s="1"/>
  <c r="Z186"/>
  <c r="G188"/>
  <c r="H188" s="1"/>
  <c r="I188" s="1"/>
  <c r="J188" s="1"/>
  <c r="W183"/>
  <c r="Z183"/>
  <c r="W185"/>
  <c r="Z185"/>
  <c r="W187"/>
  <c r="Z187"/>
  <c r="W182"/>
  <c r="W184"/>
  <c r="W186"/>
  <c r="W188"/>
  <c r="D107"/>
  <c r="D105"/>
  <c r="D84"/>
  <c r="C105"/>
  <c r="C103" s="1"/>
  <c r="E105"/>
  <c r="E107"/>
  <c r="E84"/>
  <c r="D108"/>
  <c r="C108"/>
  <c r="P11"/>
  <c r="BH14"/>
  <c r="AN42"/>
  <c r="AL42"/>
  <c r="AJ42"/>
  <c r="AH42"/>
  <c r="AF42"/>
  <c r="AD42"/>
  <c r="AB42"/>
  <c r="Z42"/>
  <c r="X42"/>
  <c r="V42"/>
  <c r="O42"/>
  <c r="M42"/>
  <c r="K42"/>
  <c r="I42"/>
  <c r="G42"/>
  <c r="E42"/>
  <c r="C42"/>
  <c r="A42"/>
  <c r="AT16"/>
  <c r="T33"/>
  <c r="T30"/>
  <c r="P13"/>
  <c r="AW8"/>
  <c r="Q33"/>
  <c r="Q30"/>
  <c r="B100"/>
  <c r="B119" s="1"/>
  <c r="B90"/>
  <c r="B109" s="1"/>
  <c r="B91"/>
  <c r="B110" s="1"/>
  <c r="B92"/>
  <c r="B111" s="1"/>
  <c r="B93"/>
  <c r="B112" s="1"/>
  <c r="B94"/>
  <c r="B113" s="1"/>
  <c r="B95"/>
  <c r="B114" s="1"/>
  <c r="B96"/>
  <c r="B115" s="1"/>
  <c r="B97"/>
  <c r="B116" s="1"/>
  <c r="B98"/>
  <c r="B117" s="1"/>
  <c r="B99"/>
  <c r="B118" s="1"/>
  <c r="P14"/>
  <c r="S4"/>
  <c r="P5"/>
  <c r="P4"/>
  <c r="S12"/>
  <c r="P10"/>
  <c r="S9"/>
  <c r="S8"/>
  <c r="S7"/>
  <c r="S1" s="1"/>
  <c r="S14"/>
  <c r="S5"/>
  <c r="P12"/>
  <c r="S11"/>
  <c r="S10"/>
  <c r="P8"/>
  <c r="B82"/>
  <c r="B70" s="1"/>
  <c r="E78"/>
  <c r="AV13"/>
  <c r="AW10"/>
  <c r="S2"/>
  <c r="S37"/>
  <c r="S13"/>
  <c r="H43" i="14"/>
  <c r="J43" s="1"/>
  <c r="I43"/>
  <c r="H39"/>
  <c r="J39" s="1"/>
  <c r="I39"/>
  <c r="AA37"/>
  <c r="AA35"/>
  <c r="AA21"/>
  <c r="AA19"/>
  <c r="AA17"/>
  <c r="AB34"/>
  <c r="Y64"/>
  <c r="AB64" s="1"/>
  <c r="Y62"/>
  <c r="AB62" s="1"/>
  <c r="Y60"/>
  <c r="AB60" s="1"/>
  <c r="Y56"/>
  <c r="AB56" s="1"/>
  <c r="Y54"/>
  <c r="AB54" s="1"/>
  <c r="Y52"/>
  <c r="AB52" s="1"/>
  <c r="Y47"/>
  <c r="AB47" s="1"/>
  <c r="Y45"/>
  <c r="AB45" s="1"/>
  <c r="Y43"/>
  <c r="AB43" s="1"/>
  <c r="Y39"/>
  <c r="AB39" s="1"/>
  <c r="AB37"/>
  <c r="Y36"/>
  <c r="AB36" s="1"/>
  <c r="AB35"/>
  <c r="I44"/>
  <c r="I42"/>
  <c r="Y31"/>
  <c r="AB31" s="1"/>
  <c r="AB29"/>
  <c r="Y27"/>
  <c r="AB27" s="1"/>
  <c r="Y25"/>
  <c r="AB25" s="1"/>
  <c r="AA22"/>
  <c r="AB21"/>
  <c r="AB19"/>
  <c r="AA18"/>
  <c r="AB17"/>
  <c r="I8"/>
  <c r="AA43"/>
  <c r="AA31"/>
  <c r="AA27"/>
  <c r="AB23"/>
  <c r="AB20"/>
  <c r="I40"/>
  <c r="H40"/>
  <c r="J40" s="1"/>
  <c r="I38"/>
  <c r="H38"/>
  <c r="J38" s="1"/>
  <c r="I36"/>
  <c r="H36"/>
  <c r="J36" s="1"/>
  <c r="AA64"/>
  <c r="AA62"/>
  <c r="AA56"/>
  <c r="I41"/>
  <c r="H41"/>
  <c r="J41" s="1"/>
  <c r="I37"/>
  <c r="H37"/>
  <c r="J37" s="1"/>
  <c r="AA65"/>
  <c r="AA63"/>
  <c r="AA61"/>
  <c r="AA59"/>
  <c r="AA57"/>
  <c r="AA55"/>
  <c r="AA53"/>
  <c r="AA51"/>
  <c r="AA48"/>
  <c r="AA46"/>
  <c r="AA44"/>
  <c r="AA42"/>
  <c r="AA40"/>
  <c r="AA38"/>
  <c r="AA30"/>
  <c r="AA28"/>
  <c r="AA26"/>
  <c r="D46"/>
  <c r="M46" i="11"/>
  <c r="N46" s="1"/>
  <c r="L46"/>
  <c r="L45"/>
  <c r="M45" s="1"/>
  <c r="N45" s="1"/>
  <c r="L44"/>
  <c r="M44" s="1"/>
  <c r="N44" s="1"/>
  <c r="L43"/>
  <c r="M43" s="1"/>
  <c r="N43" s="1"/>
  <c r="L42"/>
  <c r="M42" s="1"/>
  <c r="N42" s="1"/>
  <c r="L41"/>
  <c r="M41" s="1"/>
  <c r="N41" s="1"/>
  <c r="L40"/>
  <c r="M40" s="1"/>
  <c r="N40" s="1"/>
  <c r="L38"/>
  <c r="M38" s="1"/>
  <c r="N38" s="1"/>
  <c r="M37"/>
  <c r="N37" s="1"/>
  <c r="L37"/>
  <c r="L36"/>
  <c r="M36" s="1"/>
  <c r="N36" s="1"/>
  <c r="L35"/>
  <c r="M35" s="1"/>
  <c r="N35" s="1"/>
  <c r="L34"/>
  <c r="M34" s="1"/>
  <c r="N34" s="1"/>
  <c r="L33"/>
  <c r="M33" s="1"/>
  <c r="N33" s="1"/>
  <c r="L32"/>
  <c r="M32" s="1"/>
  <c r="N32" s="1"/>
  <c r="H5" i="6"/>
  <c r="F5"/>
  <c r="G5" s="1"/>
  <c r="E5"/>
  <c r="D5"/>
  <c r="H4"/>
  <c r="F4"/>
  <c r="G4" s="1"/>
  <c r="E4"/>
  <c r="D4"/>
  <c r="Q3"/>
  <c r="P3" s="1"/>
  <c r="H3"/>
  <c r="F3"/>
  <c r="G3" s="1"/>
  <c r="E3"/>
  <c r="D3"/>
  <c r="J4" l="1"/>
  <c r="K4" s="1"/>
  <c r="L4" s="1"/>
  <c r="J5"/>
  <c r="K5" s="1"/>
  <c r="L5" s="1"/>
  <c r="P2" i="15"/>
  <c r="F17" i="16"/>
  <c r="D18"/>
  <c r="T8" i="15"/>
  <c r="T12"/>
  <c r="T9"/>
  <c r="J3" i="6"/>
  <c r="K3" s="1"/>
  <c r="L3" s="1"/>
  <c r="AA54" i="14"/>
  <c r="AA25"/>
  <c r="AA47"/>
  <c r="T13" i="15"/>
  <c r="I32" i="17"/>
  <c r="G32"/>
  <c r="J32"/>
  <c r="H32"/>
  <c r="F32"/>
  <c r="D77" i="15"/>
  <c r="D80" s="1"/>
  <c r="D72" s="1"/>
  <c r="D66" s="1"/>
  <c r="E12" i="20"/>
  <c r="E77" i="15"/>
  <c r="E80" s="1"/>
  <c r="D85" i="13"/>
  <c r="A84"/>
  <c r="P49" i="17"/>
  <c r="N50" s="1"/>
  <c r="C81" i="15"/>
  <c r="C85" s="1"/>
  <c r="C72"/>
  <c r="C66" s="1"/>
  <c r="D81"/>
  <c r="D315"/>
  <c r="C315" s="1"/>
  <c r="A315" s="1"/>
  <c r="M315" s="1"/>
  <c r="K315"/>
  <c r="N315" s="1"/>
  <c r="D321"/>
  <c r="C321" s="1"/>
  <c r="A321" s="1"/>
  <c r="M321" s="1"/>
  <c r="K321"/>
  <c r="N321" s="1"/>
  <c r="D319"/>
  <c r="C319" s="1"/>
  <c r="K319"/>
  <c r="N319" s="1"/>
  <c r="D316"/>
  <c r="C316" s="1"/>
  <c r="K316"/>
  <c r="N316" s="1"/>
  <c r="D313"/>
  <c r="C313" s="1"/>
  <c r="A313" s="1"/>
  <c r="M313" s="1"/>
  <c r="K313"/>
  <c r="N313" s="1"/>
  <c r="D317"/>
  <c r="C317" s="1"/>
  <c r="A317" s="1"/>
  <c r="M317" s="1"/>
  <c r="K317"/>
  <c r="N317" s="1"/>
  <c r="D320"/>
  <c r="C320" s="1"/>
  <c r="A320" s="1"/>
  <c r="M320" s="1"/>
  <c r="K320"/>
  <c r="N320" s="1"/>
  <c r="D314"/>
  <c r="C314" s="1"/>
  <c r="A314" s="1"/>
  <c r="M314" s="1"/>
  <c r="K314"/>
  <c r="N314" s="1"/>
  <c r="D292"/>
  <c r="K292"/>
  <c r="D287"/>
  <c r="K287"/>
  <c r="D283"/>
  <c r="K283"/>
  <c r="D278"/>
  <c r="K278"/>
  <c r="D273"/>
  <c r="K273"/>
  <c r="D269"/>
  <c r="K269"/>
  <c r="D264"/>
  <c r="K264"/>
  <c r="D259"/>
  <c r="K259"/>
  <c r="D255"/>
  <c r="K255"/>
  <c r="D250"/>
  <c r="K250"/>
  <c r="D293"/>
  <c r="K293"/>
  <c r="D289"/>
  <c r="K289"/>
  <c r="D284"/>
  <c r="K284"/>
  <c r="D279"/>
  <c r="K279"/>
  <c r="D275"/>
  <c r="K275"/>
  <c r="D270"/>
  <c r="K270"/>
  <c r="D265"/>
  <c r="K265"/>
  <c r="D261"/>
  <c r="K261"/>
  <c r="D256"/>
  <c r="K256"/>
  <c r="D251"/>
  <c r="K251"/>
  <c r="D247"/>
  <c r="K247"/>
  <c r="D294"/>
  <c r="C294" s="1"/>
  <c r="K294"/>
  <c r="K305"/>
  <c r="K308"/>
  <c r="K304"/>
  <c r="K309"/>
  <c r="D290"/>
  <c r="K290"/>
  <c r="D285"/>
  <c r="K285"/>
  <c r="D280"/>
  <c r="K280"/>
  <c r="D276"/>
  <c r="K276"/>
  <c r="D271"/>
  <c r="K271"/>
  <c r="D266"/>
  <c r="K266"/>
  <c r="D262"/>
  <c r="K262"/>
  <c r="D257"/>
  <c r="K257"/>
  <c r="D252"/>
  <c r="K252"/>
  <c r="D248"/>
  <c r="K248"/>
  <c r="D291"/>
  <c r="K291"/>
  <c r="D286"/>
  <c r="K286"/>
  <c r="D282"/>
  <c r="K282"/>
  <c r="D277"/>
  <c r="K277"/>
  <c r="D272"/>
  <c r="K272"/>
  <c r="D268"/>
  <c r="K268"/>
  <c r="D263"/>
  <c r="K263"/>
  <c r="D258"/>
  <c r="K258"/>
  <c r="D254"/>
  <c r="K254"/>
  <c r="D249"/>
  <c r="K249"/>
  <c r="K307"/>
  <c r="K310"/>
  <c r="K306"/>
  <c r="I305"/>
  <c r="J305" s="1"/>
  <c r="I309"/>
  <c r="J309" s="1"/>
  <c r="J314"/>
  <c r="J320"/>
  <c r="J317"/>
  <c r="F298"/>
  <c r="I298"/>
  <c r="J298" s="1"/>
  <c r="F302"/>
  <c r="I302"/>
  <c r="J302" s="1"/>
  <c r="F299"/>
  <c r="I299"/>
  <c r="J299" s="1"/>
  <c r="F296"/>
  <c r="I296"/>
  <c r="J296" s="1"/>
  <c r="F300"/>
  <c r="I300"/>
  <c r="J300" s="1"/>
  <c r="F297"/>
  <c r="I297"/>
  <c r="J297" s="1"/>
  <c r="F301"/>
  <c r="I301"/>
  <c r="J301" s="1"/>
  <c r="J321"/>
  <c r="J313"/>
  <c r="J315"/>
  <c r="J294"/>
  <c r="A294"/>
  <c r="C290"/>
  <c r="C285"/>
  <c r="C280"/>
  <c r="C276"/>
  <c r="C271"/>
  <c r="C266"/>
  <c r="C262"/>
  <c r="C257"/>
  <c r="C252"/>
  <c r="C248"/>
  <c r="C291"/>
  <c r="C286"/>
  <c r="C282"/>
  <c r="C277"/>
  <c r="C272"/>
  <c r="C268"/>
  <c r="C263"/>
  <c r="C258"/>
  <c r="C254"/>
  <c r="C249"/>
  <c r="C292"/>
  <c r="C287"/>
  <c r="C283"/>
  <c r="C278"/>
  <c r="C273"/>
  <c r="C269"/>
  <c r="C264"/>
  <c r="C259"/>
  <c r="C255"/>
  <c r="C250"/>
  <c r="C293"/>
  <c r="C289"/>
  <c r="C284"/>
  <c r="C279"/>
  <c r="C275"/>
  <c r="C270"/>
  <c r="C265"/>
  <c r="C261"/>
  <c r="C256"/>
  <c r="C251"/>
  <c r="C247"/>
  <c r="D103"/>
  <c r="E108"/>
  <c r="E103"/>
  <c r="F105"/>
  <c r="F107"/>
  <c r="F84"/>
  <c r="B125"/>
  <c r="B126" s="1"/>
  <c r="B127" s="1"/>
  <c r="B128" s="1"/>
  <c r="B129" s="1"/>
  <c r="B130" s="1"/>
  <c r="B131" s="1"/>
  <c r="B121"/>
  <c r="B122" s="1"/>
  <c r="B123" s="1"/>
  <c r="B124" s="1"/>
  <c r="B83"/>
  <c r="AT17"/>
  <c r="T11"/>
  <c r="T14"/>
  <c r="F77"/>
  <c r="S3"/>
  <c r="T2" s="1"/>
  <c r="X3"/>
  <c r="X4" s="1"/>
  <c r="AV14"/>
  <c r="F78"/>
  <c r="T10"/>
  <c r="AA39" i="14"/>
  <c r="AA52"/>
  <c r="AA36"/>
  <c r="AA45"/>
  <c r="AA60"/>
  <c r="M59" i="6"/>
  <c r="N59" s="1"/>
  <c r="O59" s="1"/>
  <c r="G30" i="8"/>
  <c r="H30" s="1"/>
  <c r="G29"/>
  <c r="H29" s="1"/>
  <c r="G28"/>
  <c r="H28" s="1"/>
  <c r="AA60" i="1"/>
  <c r="Y61"/>
  <c r="AC59"/>
  <c r="AC58"/>
  <c r="U59"/>
  <c r="U58"/>
  <c r="AO12"/>
  <c r="AO11"/>
  <c r="AO10"/>
  <c r="AO9"/>
  <c r="AO8"/>
  <c r="AO7"/>
  <c r="BE58"/>
  <c r="BE57"/>
  <c r="BE56"/>
  <c r="BE54"/>
  <c r="BE53"/>
  <c r="BF53" s="1"/>
  <c r="BE52"/>
  <c r="BE50"/>
  <c r="BE49"/>
  <c r="BE48"/>
  <c r="BE46"/>
  <c r="BE45"/>
  <c r="BF45" s="1"/>
  <c r="BE44"/>
  <c r="BE42"/>
  <c r="BE41"/>
  <c r="BE40"/>
  <c r="BE38"/>
  <c r="BE37"/>
  <c r="BF37" s="1"/>
  <c r="BE36"/>
  <c r="T4" i="12"/>
  <c r="U4"/>
  <c r="E6"/>
  <c r="G6"/>
  <c r="H6"/>
  <c r="S6"/>
  <c r="E7"/>
  <c r="H7" s="1"/>
  <c r="F7"/>
  <c r="G7" s="1"/>
  <c r="S7"/>
  <c r="E8"/>
  <c r="H8" s="1"/>
  <c r="F8"/>
  <c r="G8" s="1"/>
  <c r="S8"/>
  <c r="E9"/>
  <c r="H9" s="1"/>
  <c r="E10"/>
  <c r="H10" s="1"/>
  <c r="S11"/>
  <c r="S12"/>
  <c r="D15"/>
  <c r="T15"/>
  <c r="U15"/>
  <c r="D16"/>
  <c r="S16"/>
  <c r="B17"/>
  <c r="B18" s="1"/>
  <c r="F19"/>
  <c r="S20"/>
  <c r="T20" s="1"/>
  <c r="F21"/>
  <c r="B25"/>
  <c r="C25"/>
  <c r="C29"/>
  <c r="F16" s="1"/>
  <c r="F17" s="1"/>
  <c r="J36"/>
  <c r="J37" s="1"/>
  <c r="I39"/>
  <c r="Q39"/>
  <c r="P39" s="1"/>
  <c r="R42"/>
  <c r="R43"/>
  <c r="R44"/>
  <c r="R45"/>
  <c r="R46"/>
  <c r="R47"/>
  <c r="C48"/>
  <c r="E48" s="1"/>
  <c r="G48" s="1"/>
  <c r="K48"/>
  <c r="C49"/>
  <c r="E49" s="1"/>
  <c r="G49" s="1"/>
  <c r="K49"/>
  <c r="C50"/>
  <c r="E50" s="1"/>
  <c r="G50" s="1"/>
  <c r="K50"/>
  <c r="C51"/>
  <c r="E51" s="1"/>
  <c r="G51" s="1"/>
  <c r="K51"/>
  <c r="E60"/>
  <c r="M62"/>
  <c r="L63"/>
  <c r="M63"/>
  <c r="O63"/>
  <c r="K70" s="1"/>
  <c r="L64"/>
  <c r="M64"/>
  <c r="L65"/>
  <c r="M65"/>
  <c r="K72" s="1"/>
  <c r="L66"/>
  <c r="M66"/>
  <c r="B78"/>
  <c r="C78"/>
  <c r="L78" s="1"/>
  <c r="B79"/>
  <c r="C79"/>
  <c r="L79" s="1"/>
  <c r="B80"/>
  <c r="C80"/>
  <c r="L80" s="1"/>
  <c r="G82"/>
  <c r="H82"/>
  <c r="I82"/>
  <c r="J82"/>
  <c r="K82"/>
  <c r="G83"/>
  <c r="H83"/>
  <c r="I83"/>
  <c r="J83"/>
  <c r="K83"/>
  <c r="G84"/>
  <c r="H84"/>
  <c r="I84"/>
  <c r="J84"/>
  <c r="K84"/>
  <c r="AB85"/>
  <c r="T86"/>
  <c r="U86" s="1"/>
  <c r="V86" s="1"/>
  <c r="AB86"/>
  <c r="T87"/>
  <c r="U87" s="1"/>
  <c r="V87" s="1"/>
  <c r="B88"/>
  <c r="B92" s="1"/>
  <c r="T88"/>
  <c r="U88" s="1"/>
  <c r="V88" s="1"/>
  <c r="D89"/>
  <c r="E89"/>
  <c r="F89"/>
  <c r="G89"/>
  <c r="H89"/>
  <c r="I89"/>
  <c r="T89"/>
  <c r="U89" s="1"/>
  <c r="V89" s="1"/>
  <c r="T90"/>
  <c r="U90" s="1"/>
  <c r="V90" s="1"/>
  <c r="C91"/>
  <c r="D91" s="1"/>
  <c r="T91"/>
  <c r="U91" s="1"/>
  <c r="V91" s="1"/>
  <c r="C92"/>
  <c r="D92" s="1"/>
  <c r="T92"/>
  <c r="U92" s="1"/>
  <c r="V92" s="1"/>
  <c r="C93"/>
  <c r="D93" s="1"/>
  <c r="G93"/>
  <c r="T93"/>
  <c r="U93" s="1"/>
  <c r="V93" s="1"/>
  <c r="C94"/>
  <c r="D94" s="1"/>
  <c r="C95"/>
  <c r="D95" s="1"/>
  <c r="C96"/>
  <c r="D96" s="1"/>
  <c r="C97"/>
  <c r="D97" s="1"/>
  <c r="C98"/>
  <c r="D98" s="1"/>
  <c r="T98"/>
  <c r="U98" s="1"/>
  <c r="V98" s="1"/>
  <c r="C99"/>
  <c r="D99" s="1"/>
  <c r="T99"/>
  <c r="U99" s="1"/>
  <c r="V99" s="1"/>
  <c r="C100"/>
  <c r="D100" s="1"/>
  <c r="T100"/>
  <c r="U100" s="1"/>
  <c r="V100" s="1"/>
  <c r="B101"/>
  <c r="C101"/>
  <c r="D101" s="1"/>
  <c r="E101"/>
  <c r="G101"/>
  <c r="I101"/>
  <c r="T101"/>
  <c r="U101" s="1"/>
  <c r="V101" s="1"/>
  <c r="C102"/>
  <c r="D102" s="1"/>
  <c r="T102"/>
  <c r="U102" s="1"/>
  <c r="V102" s="1"/>
  <c r="V110" s="1"/>
  <c r="U110" s="1"/>
  <c r="T110" s="1"/>
  <c r="T103"/>
  <c r="U103" s="1"/>
  <c r="V103" s="1"/>
  <c r="T104"/>
  <c r="U104" s="1"/>
  <c r="V104" s="1"/>
  <c r="B106"/>
  <c r="B107" s="1"/>
  <c r="C106"/>
  <c r="C107" s="1"/>
  <c r="F110"/>
  <c r="F111" s="1"/>
  <c r="F114" s="1"/>
  <c r="K3" i="11"/>
  <c r="F5"/>
  <c r="S7"/>
  <c r="R7"/>
  <c r="Q7"/>
  <c r="P7"/>
  <c r="O7"/>
  <c r="N7"/>
  <c r="S6"/>
  <c r="R6"/>
  <c r="Q6"/>
  <c r="P6"/>
  <c r="O6"/>
  <c r="N6"/>
  <c r="S5"/>
  <c r="R5"/>
  <c r="Q5"/>
  <c r="P5"/>
  <c r="O5"/>
  <c r="N5"/>
  <c r="S4"/>
  <c r="R4"/>
  <c r="Q4"/>
  <c r="P4"/>
  <c r="O4"/>
  <c r="N4"/>
  <c r="S3"/>
  <c r="R3"/>
  <c r="Q3"/>
  <c r="P3"/>
  <c r="O3"/>
  <c r="N3"/>
  <c r="D61"/>
  <c r="D60"/>
  <c r="D59"/>
  <c r="D58"/>
  <c r="D57"/>
  <c r="D56"/>
  <c r="D55"/>
  <c r="D53"/>
  <c r="D52"/>
  <c r="D51"/>
  <c r="D50"/>
  <c r="D49"/>
  <c r="D48"/>
  <c r="D47"/>
  <c r="D44"/>
  <c r="D43"/>
  <c r="D42"/>
  <c r="D41"/>
  <c r="D40"/>
  <c r="D39"/>
  <c r="D38"/>
  <c r="D36"/>
  <c r="D35"/>
  <c r="D34"/>
  <c r="D33"/>
  <c r="D32"/>
  <c r="D31"/>
  <c r="D30"/>
  <c r="D27"/>
  <c r="D26"/>
  <c r="D25"/>
  <c r="D24"/>
  <c r="D23"/>
  <c r="D22"/>
  <c r="D21"/>
  <c r="D19"/>
  <c r="D18"/>
  <c r="D17"/>
  <c r="D16"/>
  <c r="G24" s="1"/>
  <c r="D15"/>
  <c r="D14"/>
  <c r="D13"/>
  <c r="G3"/>
  <c r="M13"/>
  <c r="M14"/>
  <c r="M15"/>
  <c r="M16"/>
  <c r="M17"/>
  <c r="M18"/>
  <c r="M19"/>
  <c r="G23"/>
  <c r="G25"/>
  <c r="G26"/>
  <c r="G27"/>
  <c r="E13"/>
  <c r="T12" s="1"/>
  <c r="E14"/>
  <c r="E15"/>
  <c r="T14" s="1"/>
  <c r="E16"/>
  <c r="T15" s="1"/>
  <c r="E17"/>
  <c r="T16" s="1"/>
  <c r="E18"/>
  <c r="T17" s="1"/>
  <c r="E19"/>
  <c r="T18" s="1"/>
  <c r="E21"/>
  <c r="E22"/>
  <c r="E23"/>
  <c r="E24"/>
  <c r="E25"/>
  <c r="E26"/>
  <c r="E27"/>
  <c r="F13"/>
  <c r="F14"/>
  <c r="F15"/>
  <c r="F16"/>
  <c r="F17"/>
  <c r="F18"/>
  <c r="F19"/>
  <c r="F21"/>
  <c r="F22"/>
  <c r="F23"/>
  <c r="F24"/>
  <c r="F25"/>
  <c r="F26"/>
  <c r="F27"/>
  <c r="BF36" i="1"/>
  <c r="BF38"/>
  <c r="BF40"/>
  <c r="BF41"/>
  <c r="BF42"/>
  <c r="BF44"/>
  <c r="BF46"/>
  <c r="BF48"/>
  <c r="BF49"/>
  <c r="BF50"/>
  <c r="BF52"/>
  <c r="BF54"/>
  <c r="BF56"/>
  <c r="BF57"/>
  <c r="BF58"/>
  <c r="B27"/>
  <c r="B71" s="1"/>
  <c r="L27"/>
  <c r="L28" s="1"/>
  <c r="L29" s="1"/>
  <c r="L30" s="1"/>
  <c r="L31" s="1"/>
  <c r="L32" s="1"/>
  <c r="L33" s="1"/>
  <c r="L34" s="1"/>
  <c r="L35" s="1"/>
  <c r="F34" i="10"/>
  <c r="G34" s="1"/>
  <c r="C31"/>
  <c r="C38"/>
  <c r="C39" s="1"/>
  <c r="C40" s="1"/>
  <c r="C41" s="1"/>
  <c r="C42" s="1"/>
  <c r="C43" s="1"/>
  <c r="C44" s="1"/>
  <c r="C45" s="1"/>
  <c r="C46" s="1"/>
  <c r="C47" s="1"/>
  <c r="C48" s="1"/>
  <c r="C49" s="1"/>
  <c r="C50" s="1"/>
  <c r="C51" s="1"/>
  <c r="C52" s="1"/>
  <c r="C53" s="1"/>
  <c r="C54" s="1"/>
  <c r="C55" s="1"/>
  <c r="C56" s="1"/>
  <c r="C57" s="1"/>
  <c r="C58" s="1"/>
  <c r="C59" s="1"/>
  <c r="C60" s="1"/>
  <c r="C61" s="1"/>
  <c r="C62" s="1"/>
  <c r="C63" s="1"/>
  <c r="C64" s="1"/>
  <c r="C65" s="1"/>
  <c r="C66" s="1"/>
  <c r="C67" s="1"/>
  <c r="C68" s="1"/>
  <c r="C69" s="1"/>
  <c r="C70" s="1"/>
  <c r="C71" s="1"/>
  <c r="C72" s="1"/>
  <c r="C73" s="1"/>
  <c r="C74" s="1"/>
  <c r="C75" s="1"/>
  <c r="C76" s="1"/>
  <c r="C77" s="1"/>
  <c r="C78" s="1"/>
  <c r="C79" s="1"/>
  <c r="C80" s="1"/>
  <c r="C81" s="1"/>
  <c r="C82" s="1"/>
  <c r="C83" s="1"/>
  <c r="C84" s="1"/>
  <c r="C85" s="1"/>
  <c r="C86" s="1"/>
  <c r="C87" s="1"/>
  <c r="C88" s="1"/>
  <c r="C89" s="1"/>
  <c r="C90" s="1"/>
  <c r="C91" s="1"/>
  <c r="C92" s="1"/>
  <c r="C93" s="1"/>
  <c r="C94" s="1"/>
  <c r="C95" s="1"/>
  <c r="C96" s="1"/>
  <c r="C97" s="1"/>
  <c r="C98" s="1"/>
  <c r="C99" s="1"/>
  <c r="C100" s="1"/>
  <c r="C101" s="1"/>
  <c r="C102" s="1"/>
  <c r="C103" s="1"/>
  <c r="C104" s="1"/>
  <c r="C105" s="1"/>
  <c r="C106" s="1"/>
  <c r="C107" s="1"/>
  <c r="C108" s="1"/>
  <c r="C34"/>
  <c r="D35"/>
  <c r="E35" s="1"/>
  <c r="F35" s="1"/>
  <c r="G35" s="1"/>
  <c r="B34"/>
  <c r="A38"/>
  <c r="B38"/>
  <c r="B39" s="1"/>
  <c r="B40" s="1"/>
  <c r="K7"/>
  <c r="I7"/>
  <c r="H7"/>
  <c r="G7"/>
  <c r="F7"/>
  <c r="E7"/>
  <c r="D7"/>
  <c r="C7"/>
  <c r="B7"/>
  <c r="J7"/>
  <c r="B4"/>
  <c r="C4"/>
  <c r="D4"/>
  <c r="E4"/>
  <c r="F4"/>
  <c r="G4"/>
  <c r="H4"/>
  <c r="I4"/>
  <c r="J4"/>
  <c r="K4"/>
  <c r="B5"/>
  <c r="C5"/>
  <c r="D5"/>
  <c r="E5"/>
  <c r="F5"/>
  <c r="G5"/>
  <c r="H5"/>
  <c r="I5"/>
  <c r="J5"/>
  <c r="K5"/>
  <c r="B6"/>
  <c r="C6"/>
  <c r="D6"/>
  <c r="E6"/>
  <c r="F6"/>
  <c r="G6"/>
  <c r="H6"/>
  <c r="I6"/>
  <c r="J6"/>
  <c r="K6"/>
  <c r="B8"/>
  <c r="C8"/>
  <c r="D8"/>
  <c r="E8"/>
  <c r="F8"/>
  <c r="G8"/>
  <c r="H8"/>
  <c r="I8"/>
  <c r="J8"/>
  <c r="K8"/>
  <c r="B9"/>
  <c r="C9"/>
  <c r="D9"/>
  <c r="E9"/>
  <c r="F9"/>
  <c r="G9"/>
  <c r="H9"/>
  <c r="I9"/>
  <c r="J9"/>
  <c r="K9"/>
  <c r="B10"/>
  <c r="C10"/>
  <c r="D10"/>
  <c r="E10"/>
  <c r="F10"/>
  <c r="G10"/>
  <c r="H10"/>
  <c r="I10"/>
  <c r="J10"/>
  <c r="K10"/>
  <c r="F40" i="8"/>
  <c r="F51"/>
  <c r="F50"/>
  <c r="F49"/>
  <c r="F48"/>
  <c r="F47"/>
  <c r="F46"/>
  <c r="F45"/>
  <c r="F44"/>
  <c r="F43"/>
  <c r="E55"/>
  <c r="E54"/>
  <c r="E53"/>
  <c r="E52"/>
  <c r="E51"/>
  <c r="E50"/>
  <c r="E49"/>
  <c r="E48"/>
  <c r="E47"/>
  <c r="E46"/>
  <c r="E45"/>
  <c r="E44"/>
  <c r="E43"/>
  <c r="E89" i="9"/>
  <c r="D89"/>
  <c r="N69" i="1"/>
  <c r="O3" i="9"/>
  <c r="O66" i="1"/>
  <c r="AE41"/>
  <c r="AL41" s="1"/>
  <c r="AE2"/>
  <c r="AA70"/>
  <c r="AF70" s="1"/>
  <c r="C99"/>
  <c r="F70"/>
  <c r="L70"/>
  <c r="J70"/>
  <c r="B70"/>
  <c r="C70" s="1"/>
  <c r="F27"/>
  <c r="F28" s="1"/>
  <c r="F29" s="1"/>
  <c r="F30" s="1"/>
  <c r="F31" s="1"/>
  <c r="F32" s="1"/>
  <c r="F33" s="1"/>
  <c r="F34" s="1"/>
  <c r="F35" s="1"/>
  <c r="F79" s="1"/>
  <c r="Y55"/>
  <c r="I24" i="8"/>
  <c r="H24"/>
  <c r="H15"/>
  <c r="J15" s="1"/>
  <c r="K15" s="1"/>
  <c r="H16"/>
  <c r="J16" s="1"/>
  <c r="K16" s="1"/>
  <c r="H17"/>
  <c r="J17" s="1"/>
  <c r="K17" s="1"/>
  <c r="H18"/>
  <c r="J18" s="1"/>
  <c r="K18" s="1"/>
  <c r="H19"/>
  <c r="J19" s="1"/>
  <c r="K19" s="1"/>
  <c r="A28"/>
  <c r="A27"/>
  <c r="A26"/>
  <c r="A25"/>
  <c r="A24"/>
  <c r="A23"/>
  <c r="A22"/>
  <c r="A21"/>
  <c r="A20"/>
  <c r="A19"/>
  <c r="A18"/>
  <c r="A17"/>
  <c r="A16"/>
  <c r="A15"/>
  <c r="A14"/>
  <c r="A13"/>
  <c r="O21"/>
  <c r="N21" s="1"/>
  <c r="O20"/>
  <c r="N20" s="1"/>
  <c r="O19"/>
  <c r="N19" s="1"/>
  <c r="O18"/>
  <c r="N18" s="1"/>
  <c r="O17"/>
  <c r="N17" s="1"/>
  <c r="O16"/>
  <c r="N16" s="1"/>
  <c r="O15"/>
  <c r="N15" s="1"/>
  <c r="O14"/>
  <c r="N14" s="1"/>
  <c r="O12"/>
  <c r="N12" s="1"/>
  <c r="O11"/>
  <c r="N11" s="1"/>
  <c r="O10"/>
  <c r="N10" s="1"/>
  <c r="O9"/>
  <c r="N9" s="1"/>
  <c r="O8"/>
  <c r="N8" s="1"/>
  <c r="O7"/>
  <c r="N7" s="1"/>
  <c r="O6"/>
  <c r="N6" s="1"/>
  <c r="O4"/>
  <c r="A12"/>
  <c r="A11"/>
  <c r="A10"/>
  <c r="A9"/>
  <c r="A8"/>
  <c r="A7"/>
  <c r="H8"/>
  <c r="J8" s="1"/>
  <c r="K8" s="1"/>
  <c r="H7"/>
  <c r="J7" s="1"/>
  <c r="K7" s="1"/>
  <c r="H6"/>
  <c r="J6" s="1"/>
  <c r="K6" s="1"/>
  <c r="B12" i="6"/>
  <c r="B13"/>
  <c r="C17"/>
  <c r="E17"/>
  <c r="G17"/>
  <c r="H17" s="1"/>
  <c r="I17" s="1"/>
  <c r="J17" s="1"/>
  <c r="K17" s="1"/>
  <c r="C18"/>
  <c r="G18" s="1"/>
  <c r="E18"/>
  <c r="F18"/>
  <c r="F19" s="1"/>
  <c r="F20" s="1"/>
  <c r="F21" s="1"/>
  <c r="F22" s="1"/>
  <c r="F23" s="1"/>
  <c r="F24" s="1"/>
  <c r="F25" s="1"/>
  <c r="F26" s="1"/>
  <c r="F27" s="1"/>
  <c r="F28" s="1"/>
  <c r="F29" s="1"/>
  <c r="F30" s="1"/>
  <c r="C19"/>
  <c r="G19" s="1"/>
  <c r="E19"/>
  <c r="C20"/>
  <c r="G20" s="1"/>
  <c r="E20"/>
  <c r="C21"/>
  <c r="G21" s="1"/>
  <c r="E21"/>
  <c r="C22"/>
  <c r="G22" s="1"/>
  <c r="E22"/>
  <c r="C23"/>
  <c r="E23"/>
  <c r="G23"/>
  <c r="C24"/>
  <c r="E24"/>
  <c r="G24"/>
  <c r="C25"/>
  <c r="E25"/>
  <c r="G25"/>
  <c r="C26"/>
  <c r="E26"/>
  <c r="G26"/>
  <c r="C27"/>
  <c r="G27" s="1"/>
  <c r="E27"/>
  <c r="C28"/>
  <c r="E28"/>
  <c r="G28"/>
  <c r="C29"/>
  <c r="E29"/>
  <c r="G29"/>
  <c r="C30"/>
  <c r="E30"/>
  <c r="G30"/>
  <c r="J35"/>
  <c r="K35"/>
  <c r="L35"/>
  <c r="M35"/>
  <c r="N35"/>
  <c r="O35"/>
  <c r="P35"/>
  <c r="J42"/>
  <c r="J43"/>
  <c r="D44"/>
  <c r="E44" s="1"/>
  <c r="F44" s="1"/>
  <c r="G44" s="1"/>
  <c r="H44" s="1"/>
  <c r="I44"/>
  <c r="A45"/>
  <c r="A46" s="1"/>
  <c r="B45"/>
  <c r="C45"/>
  <c r="C46" s="1"/>
  <c r="C47" s="1"/>
  <c r="C48" s="1"/>
  <c r="C49" s="1"/>
  <c r="B46"/>
  <c r="M46"/>
  <c r="B47"/>
  <c r="B48" s="1"/>
  <c r="C56"/>
  <c r="D56" s="1"/>
  <c r="C62"/>
  <c r="A67"/>
  <c r="B6" i="5"/>
  <c r="B7" s="1"/>
  <c r="B8" s="1"/>
  <c r="C6"/>
  <c r="C7" s="1"/>
  <c r="D6"/>
  <c r="D13" s="1"/>
  <c r="D14" s="1"/>
  <c r="E6"/>
  <c r="F6"/>
  <c r="F13" s="1"/>
  <c r="F14" s="1"/>
  <c r="G6"/>
  <c r="H6"/>
  <c r="H13" s="1"/>
  <c r="H14" s="1"/>
  <c r="I6"/>
  <c r="J6"/>
  <c r="J13" s="1"/>
  <c r="J14" s="1"/>
  <c r="K6"/>
  <c r="L6"/>
  <c r="L13" s="1"/>
  <c r="L14" s="1"/>
  <c r="M6"/>
  <c r="N6"/>
  <c r="N13" s="1"/>
  <c r="N14" s="1"/>
  <c r="O6"/>
  <c r="P6"/>
  <c r="P13" s="1"/>
  <c r="P14" s="1"/>
  <c r="D7"/>
  <c r="D8" s="1"/>
  <c r="E7"/>
  <c r="F7"/>
  <c r="F8" s="1"/>
  <c r="G7"/>
  <c r="H7"/>
  <c r="H8" s="1"/>
  <c r="I7"/>
  <c r="J7"/>
  <c r="J8" s="1"/>
  <c r="K7"/>
  <c r="L7"/>
  <c r="L8" s="1"/>
  <c r="M7"/>
  <c r="N7"/>
  <c r="N8" s="1"/>
  <c r="O7"/>
  <c r="P7"/>
  <c r="P8" s="1"/>
  <c r="C8"/>
  <c r="E8"/>
  <c r="G8"/>
  <c r="I8"/>
  <c r="K8"/>
  <c r="M8"/>
  <c r="O8"/>
  <c r="C13"/>
  <c r="E13"/>
  <c r="E14" s="1"/>
  <c r="G13"/>
  <c r="I13"/>
  <c r="I14" s="1"/>
  <c r="K13"/>
  <c r="M13"/>
  <c r="M14" s="1"/>
  <c r="O13"/>
  <c r="C14"/>
  <c r="G14"/>
  <c r="K14"/>
  <c r="O14"/>
  <c r="F32"/>
  <c r="F33"/>
  <c r="F34"/>
  <c r="F38"/>
  <c r="G38" s="1"/>
  <c r="F39"/>
  <c r="G39" s="1"/>
  <c r="F40"/>
  <c r="G40" s="1"/>
  <c r="F41"/>
  <c r="G41" s="1"/>
  <c r="F42"/>
  <c r="G42" s="1"/>
  <c r="F43"/>
  <c r="G43" s="1"/>
  <c r="F44"/>
  <c r="G44" s="1"/>
  <c r="F45"/>
  <c r="G45" s="1"/>
  <c r="F46"/>
  <c r="G46" s="1"/>
  <c r="F47"/>
  <c r="G47" s="1"/>
  <c r="F48"/>
  <c r="G48" s="1"/>
  <c r="F49"/>
  <c r="G49" s="1"/>
  <c r="F50"/>
  <c r="G50" s="1"/>
  <c r="F51"/>
  <c r="G51" s="1"/>
  <c r="F52"/>
  <c r="G52" s="1"/>
  <c r="F53"/>
  <c r="G53" s="1"/>
  <c r="F54"/>
  <c r="G54" s="1"/>
  <c r="F55"/>
  <c r="G55" s="1"/>
  <c r="D60"/>
  <c r="F60" s="1"/>
  <c r="G60" s="1"/>
  <c r="C61"/>
  <c r="D61" s="1"/>
  <c r="F61" s="1"/>
  <c r="E61"/>
  <c r="E62" s="1"/>
  <c r="C62"/>
  <c r="D62" s="1"/>
  <c r="F62" s="1"/>
  <c r="T23" i="4"/>
  <c r="T22"/>
  <c r="T21"/>
  <c r="T20"/>
  <c r="T19"/>
  <c r="T11"/>
  <c r="T10"/>
  <c r="T9"/>
  <c r="T8"/>
  <c r="T7"/>
  <c r="T6"/>
  <c r="T18"/>
  <c r="T17"/>
  <c r="T16"/>
  <c r="T15"/>
  <c r="T14"/>
  <c r="T5"/>
  <c r="T4"/>
  <c r="T3"/>
  <c r="T2"/>
  <c r="G102" i="12" l="1"/>
  <c r="I102"/>
  <c r="E102"/>
  <c r="H101"/>
  <c r="F101"/>
  <c r="G100"/>
  <c r="I93"/>
  <c r="E93"/>
  <c r="G92"/>
  <c r="G98"/>
  <c r="G97"/>
  <c r="G96"/>
  <c r="G95"/>
  <c r="G94"/>
  <c r="G91"/>
  <c r="G61" i="5"/>
  <c r="B13"/>
  <c r="B14" s="1"/>
  <c r="E90" i="9"/>
  <c r="I26" i="11"/>
  <c r="I24"/>
  <c r="I22"/>
  <c r="H26"/>
  <c r="H24"/>
  <c r="H22"/>
  <c r="G99" i="12"/>
  <c r="I98"/>
  <c r="E98"/>
  <c r="I97"/>
  <c r="E97"/>
  <c r="I96"/>
  <c r="E96"/>
  <c r="I95"/>
  <c r="E95"/>
  <c r="I94"/>
  <c r="E94"/>
  <c r="H93"/>
  <c r="F93"/>
  <c r="N65"/>
  <c r="J39"/>
  <c r="L39" s="1"/>
  <c r="I38" s="1"/>
  <c r="F18" i="16"/>
  <c r="D19"/>
  <c r="D23"/>
  <c r="F23" s="1"/>
  <c r="D46" i="6"/>
  <c r="E46" s="1"/>
  <c r="F46" s="1"/>
  <c r="G46" s="1"/>
  <c r="I46"/>
  <c r="A47"/>
  <c r="Z11" i="4"/>
  <c r="Z23"/>
  <c r="H30" i="6"/>
  <c r="I30" s="1"/>
  <c r="J30" s="1"/>
  <c r="K30" s="1"/>
  <c r="H28"/>
  <c r="I28" s="1"/>
  <c r="J28" s="1"/>
  <c r="K28" s="1"/>
  <c r="H26"/>
  <c r="I26" s="1"/>
  <c r="J26" s="1"/>
  <c r="K26" s="1"/>
  <c r="H24"/>
  <c r="I24" s="1"/>
  <c r="J24" s="1"/>
  <c r="K24" s="1"/>
  <c r="H23"/>
  <c r="I23" s="1"/>
  <c r="J23" s="1"/>
  <c r="K23" s="1"/>
  <c r="H20"/>
  <c r="I20" s="1"/>
  <c r="J20" s="1"/>
  <c r="K20" s="1"/>
  <c r="G62" i="5"/>
  <c r="D45" i="6"/>
  <c r="E45" s="1"/>
  <c r="F45" s="1"/>
  <c r="G45" s="1"/>
  <c r="I45"/>
  <c r="H29"/>
  <c r="I29" s="1"/>
  <c r="J29" s="1"/>
  <c r="K29" s="1"/>
  <c r="H27"/>
  <c r="I27" s="1"/>
  <c r="J27" s="1"/>
  <c r="K27" s="1"/>
  <c r="H25"/>
  <c r="I25" s="1"/>
  <c r="J25" s="1"/>
  <c r="K25" s="1"/>
  <c r="H22"/>
  <c r="I22" s="1"/>
  <c r="J22" s="1"/>
  <c r="K22" s="1"/>
  <c r="H18"/>
  <c r="I18" s="1"/>
  <c r="J18" s="1"/>
  <c r="K18" s="1"/>
  <c r="O44"/>
  <c r="C109" i="10"/>
  <c r="J108"/>
  <c r="H39"/>
  <c r="H41"/>
  <c r="H43"/>
  <c r="H45"/>
  <c r="H47"/>
  <c r="H49"/>
  <c r="H51"/>
  <c r="H53"/>
  <c r="H55"/>
  <c r="H57"/>
  <c r="H59"/>
  <c r="H61"/>
  <c r="H63"/>
  <c r="H65"/>
  <c r="H67"/>
  <c r="H69"/>
  <c r="H71"/>
  <c r="H73"/>
  <c r="H75"/>
  <c r="H77"/>
  <c r="H79"/>
  <c r="H81"/>
  <c r="H83"/>
  <c r="H85"/>
  <c r="H87"/>
  <c r="H89"/>
  <c r="H91"/>
  <c r="H93"/>
  <c r="H95"/>
  <c r="H97"/>
  <c r="H99"/>
  <c r="H101"/>
  <c r="H103"/>
  <c r="H105"/>
  <c r="H107"/>
  <c r="J39"/>
  <c r="K39" s="1"/>
  <c r="J41"/>
  <c r="K41" s="1"/>
  <c r="J43"/>
  <c r="K43" s="1"/>
  <c r="J45"/>
  <c r="K45" s="1"/>
  <c r="J47"/>
  <c r="K47" s="1"/>
  <c r="J49"/>
  <c r="K49" s="1"/>
  <c r="J51"/>
  <c r="K51" s="1"/>
  <c r="J53"/>
  <c r="K53" s="1"/>
  <c r="J55"/>
  <c r="K55" s="1"/>
  <c r="J57"/>
  <c r="K57" s="1"/>
  <c r="J59"/>
  <c r="K59" s="1"/>
  <c r="J61"/>
  <c r="K61" s="1"/>
  <c r="J63"/>
  <c r="K63" s="1"/>
  <c r="J65"/>
  <c r="K65" s="1"/>
  <c r="J67"/>
  <c r="K67" s="1"/>
  <c r="J69"/>
  <c r="K69" s="1"/>
  <c r="J71"/>
  <c r="K71" s="1"/>
  <c r="J73"/>
  <c r="K73" s="1"/>
  <c r="J75"/>
  <c r="K75" s="1"/>
  <c r="J77"/>
  <c r="K77" s="1"/>
  <c r="J79"/>
  <c r="K79" s="1"/>
  <c r="J81"/>
  <c r="K81" s="1"/>
  <c r="J83"/>
  <c r="K83" s="1"/>
  <c r="J85"/>
  <c r="K85" s="1"/>
  <c r="J87"/>
  <c r="K87" s="1"/>
  <c r="J89"/>
  <c r="K89" s="1"/>
  <c r="J91"/>
  <c r="K91" s="1"/>
  <c r="J93"/>
  <c r="K93" s="1"/>
  <c r="J95"/>
  <c r="K95" s="1"/>
  <c r="J97"/>
  <c r="K97" s="1"/>
  <c r="J99"/>
  <c r="K99" s="1"/>
  <c r="J101"/>
  <c r="K101" s="1"/>
  <c r="J103"/>
  <c r="K103" s="1"/>
  <c r="J105"/>
  <c r="K105" s="1"/>
  <c r="J107"/>
  <c r="K107" s="1"/>
  <c r="H21" i="6"/>
  <c r="I21" s="1"/>
  <c r="J21" s="1"/>
  <c r="K21" s="1"/>
  <c r="H19"/>
  <c r="I19" s="1"/>
  <c r="J19" s="1"/>
  <c r="K19" s="1"/>
  <c r="H38" i="10"/>
  <c r="H40"/>
  <c r="H42"/>
  <c r="H44"/>
  <c r="H46"/>
  <c r="H48"/>
  <c r="H50"/>
  <c r="H52"/>
  <c r="H54"/>
  <c r="H56"/>
  <c r="H58"/>
  <c r="H60"/>
  <c r="H62"/>
  <c r="H64"/>
  <c r="H66"/>
  <c r="H68"/>
  <c r="H70"/>
  <c r="H72"/>
  <c r="H74"/>
  <c r="H76"/>
  <c r="H78"/>
  <c r="H80"/>
  <c r="H82"/>
  <c r="H84"/>
  <c r="H86"/>
  <c r="H88"/>
  <c r="H90"/>
  <c r="H92"/>
  <c r="H94"/>
  <c r="H96"/>
  <c r="H98"/>
  <c r="H100"/>
  <c r="H102"/>
  <c r="H104"/>
  <c r="H106"/>
  <c r="H108"/>
  <c r="J38"/>
  <c r="K38" s="1"/>
  <c r="J40"/>
  <c r="K40" s="1"/>
  <c r="J42"/>
  <c r="K42" s="1"/>
  <c r="J44"/>
  <c r="K44" s="1"/>
  <c r="J46"/>
  <c r="K46" s="1"/>
  <c r="J48"/>
  <c r="K48" s="1"/>
  <c r="J50"/>
  <c r="K50" s="1"/>
  <c r="J52"/>
  <c r="K52" s="1"/>
  <c r="J54"/>
  <c r="K54" s="1"/>
  <c r="J56"/>
  <c r="K56" s="1"/>
  <c r="J58"/>
  <c r="K58" s="1"/>
  <c r="J60"/>
  <c r="K60" s="1"/>
  <c r="J62"/>
  <c r="K62" s="1"/>
  <c r="J64"/>
  <c r="K64" s="1"/>
  <c r="J66"/>
  <c r="K66" s="1"/>
  <c r="J68"/>
  <c r="K68" s="1"/>
  <c r="J70"/>
  <c r="K70" s="1"/>
  <c r="J72"/>
  <c r="K72" s="1"/>
  <c r="J74"/>
  <c r="K74" s="1"/>
  <c r="J76"/>
  <c r="K76" s="1"/>
  <c r="J78"/>
  <c r="K78" s="1"/>
  <c r="J80"/>
  <c r="K80" s="1"/>
  <c r="J82"/>
  <c r="K82" s="1"/>
  <c r="J84"/>
  <c r="K84" s="1"/>
  <c r="J86"/>
  <c r="K86" s="1"/>
  <c r="J88"/>
  <c r="K88" s="1"/>
  <c r="J90"/>
  <c r="K90" s="1"/>
  <c r="J92"/>
  <c r="K92" s="1"/>
  <c r="J94"/>
  <c r="K94" s="1"/>
  <c r="J96"/>
  <c r="K96" s="1"/>
  <c r="J98"/>
  <c r="K98" s="1"/>
  <c r="J100"/>
  <c r="K100" s="1"/>
  <c r="J102"/>
  <c r="K102" s="1"/>
  <c r="J104"/>
  <c r="K104" s="1"/>
  <c r="J106"/>
  <c r="K106" s="1"/>
  <c r="I99" i="12"/>
  <c r="E99"/>
  <c r="B99"/>
  <c r="I91"/>
  <c r="E91"/>
  <c r="B91"/>
  <c r="N63"/>
  <c r="K71" s="1"/>
  <c r="G22" i="11"/>
  <c r="F115" i="12"/>
  <c r="V106"/>
  <c r="U106" s="1"/>
  <c r="T106" s="1"/>
  <c r="C92" i="15"/>
  <c r="C111" s="1"/>
  <c r="C82"/>
  <c r="C70" s="1"/>
  <c r="B28" i="1"/>
  <c r="AA28" s="1"/>
  <c r="AA72" s="1"/>
  <c r="AF72" s="1"/>
  <c r="AA27"/>
  <c r="AA71" s="1"/>
  <c r="AF71" s="1"/>
  <c r="F113" i="12"/>
  <c r="I100"/>
  <c r="E100"/>
  <c r="H99"/>
  <c r="F99"/>
  <c r="I92"/>
  <c r="E92"/>
  <c r="H91"/>
  <c r="F91"/>
  <c r="N64"/>
  <c r="D25"/>
  <c r="L51"/>
  <c r="M51" s="1"/>
  <c r="L49"/>
  <c r="M49" s="1"/>
  <c r="E13" i="20"/>
  <c r="D86" i="13"/>
  <c r="A85"/>
  <c r="Q50" i="17"/>
  <c r="P50" s="1"/>
  <c r="D73" i="15"/>
  <c r="D74"/>
  <c r="C73"/>
  <c r="C74"/>
  <c r="C94"/>
  <c r="C113" s="1"/>
  <c r="C96"/>
  <c r="C115" s="1"/>
  <c r="C100"/>
  <c r="C119" s="1"/>
  <c r="C90"/>
  <c r="C109" s="1"/>
  <c r="C99"/>
  <c r="C118" s="1"/>
  <c r="C98"/>
  <c r="C117" s="1"/>
  <c r="C91"/>
  <c r="C110" s="1"/>
  <c r="D85"/>
  <c r="C93"/>
  <c r="C112" s="1"/>
  <c r="C95"/>
  <c r="C114" s="1"/>
  <c r="B106"/>
  <c r="B142" s="1"/>
  <c r="B71"/>
  <c r="E81"/>
  <c r="E72"/>
  <c r="E66" s="1"/>
  <c r="C97"/>
  <c r="C116" s="1"/>
  <c r="A316"/>
  <c r="M316" s="1"/>
  <c r="J316"/>
  <c r="A319"/>
  <c r="M319" s="1"/>
  <c r="J319"/>
  <c r="J247"/>
  <c r="A247"/>
  <c r="J256"/>
  <c r="A256"/>
  <c r="J265"/>
  <c r="A265"/>
  <c r="J275"/>
  <c r="A275"/>
  <c r="J284"/>
  <c r="A284"/>
  <c r="J255"/>
  <c r="A255"/>
  <c r="J264"/>
  <c r="A264"/>
  <c r="J273"/>
  <c r="A273"/>
  <c r="J283"/>
  <c r="A283"/>
  <c r="J292"/>
  <c r="A292"/>
  <c r="J254"/>
  <c r="A254"/>
  <c r="J263"/>
  <c r="A263"/>
  <c r="J272"/>
  <c r="A272"/>
  <c r="J282"/>
  <c r="A282"/>
  <c r="J291"/>
  <c r="A291"/>
  <c r="J252"/>
  <c r="A252"/>
  <c r="J262"/>
  <c r="A262"/>
  <c r="J271"/>
  <c r="A271"/>
  <c r="J280"/>
  <c r="A280"/>
  <c r="J290"/>
  <c r="A290"/>
  <c r="J251"/>
  <c r="A251"/>
  <c r="J261"/>
  <c r="A261"/>
  <c r="J270"/>
  <c r="A270"/>
  <c r="J279"/>
  <c r="A279"/>
  <c r="J289"/>
  <c r="A289"/>
  <c r="J250"/>
  <c r="A250"/>
  <c r="J259"/>
  <c r="A259"/>
  <c r="J269"/>
  <c r="A269"/>
  <c r="J278"/>
  <c r="A278"/>
  <c r="J287"/>
  <c r="A287"/>
  <c r="J249"/>
  <c r="A249"/>
  <c r="J258"/>
  <c r="A258"/>
  <c r="J268"/>
  <c r="A268"/>
  <c r="J277"/>
  <c r="A277"/>
  <c r="J286"/>
  <c r="A286"/>
  <c r="J248"/>
  <c r="A248"/>
  <c r="J257"/>
  <c r="A257"/>
  <c r="J266"/>
  <c r="A266"/>
  <c r="J276"/>
  <c r="A276"/>
  <c r="J285"/>
  <c r="A285"/>
  <c r="J293"/>
  <c r="A293"/>
  <c r="F103"/>
  <c r="F108"/>
  <c r="G105"/>
  <c r="G107"/>
  <c r="G84"/>
  <c r="B143"/>
  <c r="AU74"/>
  <c r="AU78" s="1"/>
  <c r="AT18"/>
  <c r="AU17" s="1"/>
  <c r="G77"/>
  <c r="G78"/>
  <c r="F80"/>
  <c r="AV15"/>
  <c r="I50" i="12"/>
  <c r="H50"/>
  <c r="I48"/>
  <c r="H48"/>
  <c r="I51"/>
  <c r="H51"/>
  <c r="I49"/>
  <c r="H49"/>
  <c r="V109"/>
  <c r="U109" s="1"/>
  <c r="T109" s="1"/>
  <c r="V111"/>
  <c r="U111" s="1"/>
  <c r="T111" s="1"/>
  <c r="V108"/>
  <c r="U108" s="1"/>
  <c r="T108" s="1"/>
  <c r="V107"/>
  <c r="U107" s="1"/>
  <c r="T107" s="1"/>
  <c r="L50"/>
  <c r="M50" s="1"/>
  <c r="L48"/>
  <c r="M48" s="1"/>
  <c r="H102"/>
  <c r="F102"/>
  <c r="B102"/>
  <c r="H100"/>
  <c r="F100"/>
  <c r="B100"/>
  <c r="H98"/>
  <c r="F98"/>
  <c r="B98"/>
  <c r="H97"/>
  <c r="F97"/>
  <c r="B97"/>
  <c r="H96"/>
  <c r="F96"/>
  <c r="B96"/>
  <c r="H95"/>
  <c r="F95"/>
  <c r="B95"/>
  <c r="H94"/>
  <c r="F94"/>
  <c r="B94"/>
  <c r="H92"/>
  <c r="F92"/>
  <c r="F9"/>
  <c r="I27" i="11"/>
  <c r="I25"/>
  <c r="I23"/>
  <c r="I21"/>
  <c r="T13"/>
  <c r="G21"/>
  <c r="U18"/>
  <c r="U16"/>
  <c r="U14"/>
  <c r="O11"/>
  <c r="U12"/>
  <c r="U17"/>
  <c r="U15"/>
  <c r="U13"/>
  <c r="H27"/>
  <c r="H25"/>
  <c r="H23"/>
  <c r="H21"/>
  <c r="F71" i="1"/>
  <c r="F73"/>
  <c r="F75"/>
  <c r="F77"/>
  <c r="F72"/>
  <c r="F74"/>
  <c r="F76"/>
  <c r="F78"/>
  <c r="B29"/>
  <c r="AA29" s="1"/>
  <c r="AA73" s="1"/>
  <c r="AF73" s="1"/>
  <c r="E39" i="10"/>
  <c r="E40"/>
  <c r="F38"/>
  <c r="I38" s="1"/>
  <c r="F39"/>
  <c r="I39" s="1"/>
  <c r="F40"/>
  <c r="I40" s="1"/>
  <c r="F41"/>
  <c r="I41" s="1"/>
  <c r="F42"/>
  <c r="I42" s="1"/>
  <c r="F43"/>
  <c r="I43" s="1"/>
  <c r="F44"/>
  <c r="I44" s="1"/>
  <c r="F45"/>
  <c r="I45" s="1"/>
  <c r="F46"/>
  <c r="I46" s="1"/>
  <c r="F47"/>
  <c r="I47" s="1"/>
  <c r="F48"/>
  <c r="I48" s="1"/>
  <c r="F49"/>
  <c r="I49" s="1"/>
  <c r="F50"/>
  <c r="I50" s="1"/>
  <c r="F51"/>
  <c r="I51" s="1"/>
  <c r="F52"/>
  <c r="I52" s="1"/>
  <c r="F53"/>
  <c r="I53" s="1"/>
  <c r="F54"/>
  <c r="I54" s="1"/>
  <c r="F55"/>
  <c r="I55" s="1"/>
  <c r="F56"/>
  <c r="I56" s="1"/>
  <c r="F57"/>
  <c r="I57" s="1"/>
  <c r="F58"/>
  <c r="I58" s="1"/>
  <c r="F59"/>
  <c r="I59" s="1"/>
  <c r="F60"/>
  <c r="I60" s="1"/>
  <c r="F61"/>
  <c r="I61" s="1"/>
  <c r="F62"/>
  <c r="I62" s="1"/>
  <c r="F63"/>
  <c r="I63" s="1"/>
  <c r="F64"/>
  <c r="I64" s="1"/>
  <c r="F65"/>
  <c r="I65" s="1"/>
  <c r="F66"/>
  <c r="I66" s="1"/>
  <c r="F67"/>
  <c r="I67" s="1"/>
  <c r="F68"/>
  <c r="I68" s="1"/>
  <c r="F69"/>
  <c r="I69" s="1"/>
  <c r="F70"/>
  <c r="I70" s="1"/>
  <c r="F71"/>
  <c r="I71" s="1"/>
  <c r="F72"/>
  <c r="I72" s="1"/>
  <c r="F73"/>
  <c r="I73" s="1"/>
  <c r="F74"/>
  <c r="I74" s="1"/>
  <c r="F75"/>
  <c r="I75" s="1"/>
  <c r="F76"/>
  <c r="I76" s="1"/>
  <c r="F77"/>
  <c r="I77" s="1"/>
  <c r="F78"/>
  <c r="I78" s="1"/>
  <c r="F79"/>
  <c r="I79" s="1"/>
  <c r="F80"/>
  <c r="I80" s="1"/>
  <c r="F81"/>
  <c r="I81" s="1"/>
  <c r="F82"/>
  <c r="I82" s="1"/>
  <c r="F83"/>
  <c r="I83" s="1"/>
  <c r="F84"/>
  <c r="I84" s="1"/>
  <c r="F85"/>
  <c r="I85" s="1"/>
  <c r="F86"/>
  <c r="I86" s="1"/>
  <c r="F87"/>
  <c r="I87" s="1"/>
  <c r="F88"/>
  <c r="I88" s="1"/>
  <c r="F89"/>
  <c r="I89" s="1"/>
  <c r="F90"/>
  <c r="I90" s="1"/>
  <c r="F91"/>
  <c r="I91" s="1"/>
  <c r="F92"/>
  <c r="I92" s="1"/>
  <c r="F93"/>
  <c r="I93" s="1"/>
  <c r="F94"/>
  <c r="I94" s="1"/>
  <c r="F95"/>
  <c r="I95" s="1"/>
  <c r="F96"/>
  <c r="I96" s="1"/>
  <c r="F97"/>
  <c r="I97" s="1"/>
  <c r="F98"/>
  <c r="I98" s="1"/>
  <c r="F99"/>
  <c r="I99" s="1"/>
  <c r="F100"/>
  <c r="I100" s="1"/>
  <c r="F101"/>
  <c r="I101" s="1"/>
  <c r="F102"/>
  <c r="I102" s="1"/>
  <c r="F103"/>
  <c r="I103" s="1"/>
  <c r="F104"/>
  <c r="I104" s="1"/>
  <c r="F105"/>
  <c r="I105" s="1"/>
  <c r="F106"/>
  <c r="I106" s="1"/>
  <c r="F107"/>
  <c r="I107" s="1"/>
  <c r="F108"/>
  <c r="I108" s="1"/>
  <c r="F109"/>
  <c r="I109" s="1"/>
  <c r="D38"/>
  <c r="E38"/>
  <c r="B41"/>
  <c r="A39"/>
  <c r="C71" i="1"/>
  <c r="J71"/>
  <c r="J72"/>
  <c r="L72"/>
  <c r="L71"/>
  <c r="L73"/>
  <c r="C50" i="6"/>
  <c r="B49"/>
  <c r="AI7" i="1"/>
  <c r="BB79"/>
  <c r="BE79" s="1"/>
  <c r="BB78"/>
  <c r="BE78" s="1"/>
  <c r="BB77"/>
  <c r="BE77" s="1"/>
  <c r="BB76"/>
  <c r="BE76" s="1"/>
  <c r="BB75"/>
  <c r="BE75" s="1"/>
  <c r="BB74"/>
  <c r="BE74" s="1"/>
  <c r="F19" i="16" l="1"/>
  <c r="G19" s="1"/>
  <c r="D24"/>
  <c r="F24" s="1"/>
  <c r="G24" s="1"/>
  <c r="G25" s="1"/>
  <c r="K108" i="10"/>
  <c r="G38"/>
  <c r="L38"/>
  <c r="C110"/>
  <c r="J109"/>
  <c r="H109"/>
  <c r="H45" i="6"/>
  <c r="O45"/>
  <c r="D47"/>
  <c r="E47" s="1"/>
  <c r="F47" s="1"/>
  <c r="G47" s="1"/>
  <c r="A48"/>
  <c r="I47"/>
  <c r="H46"/>
  <c r="O46"/>
  <c r="C83" i="15"/>
  <c r="C106" s="1"/>
  <c r="B133"/>
  <c r="B137"/>
  <c r="B135"/>
  <c r="B139"/>
  <c r="B72" i="1"/>
  <c r="C72" s="1"/>
  <c r="E14" i="20"/>
  <c r="C125" i="15"/>
  <c r="C126" s="1"/>
  <c r="C127" s="1"/>
  <c r="C128" s="1"/>
  <c r="C129" s="1"/>
  <c r="C130" s="1"/>
  <c r="C131" s="1"/>
  <c r="D87" i="13"/>
  <c r="A86"/>
  <c r="N51" i="17"/>
  <c r="Q51"/>
  <c r="E73" i="15"/>
  <c r="E74"/>
  <c r="C121"/>
  <c r="C122" s="1"/>
  <c r="C123" s="1"/>
  <c r="C124" s="1"/>
  <c r="B141"/>
  <c r="B134"/>
  <c r="B136"/>
  <c r="B138"/>
  <c r="B140"/>
  <c r="E85"/>
  <c r="E82" s="1"/>
  <c r="E70" s="1"/>
  <c r="D100"/>
  <c r="D119" s="1"/>
  <c r="D98"/>
  <c r="D117" s="1"/>
  <c r="D96"/>
  <c r="D115" s="1"/>
  <c r="D94"/>
  <c r="D113" s="1"/>
  <c r="D92"/>
  <c r="D111" s="1"/>
  <c r="D90"/>
  <c r="D109" s="1"/>
  <c r="D99"/>
  <c r="D118" s="1"/>
  <c r="D97"/>
  <c r="D116" s="1"/>
  <c r="D95"/>
  <c r="D114" s="1"/>
  <c r="D93"/>
  <c r="D112" s="1"/>
  <c r="D91"/>
  <c r="D110" s="1"/>
  <c r="D82"/>
  <c r="F81"/>
  <c r="F72"/>
  <c r="F66" s="1"/>
  <c r="F85"/>
  <c r="F99" s="1"/>
  <c r="F118" s="1"/>
  <c r="G108"/>
  <c r="G103"/>
  <c r="H105"/>
  <c r="H107"/>
  <c r="H84"/>
  <c r="AU18"/>
  <c r="AT19"/>
  <c r="H77"/>
  <c r="AV16"/>
  <c r="H78"/>
  <c r="G80"/>
  <c r="F10" i="12"/>
  <c r="G10" s="1"/>
  <c r="G9"/>
  <c r="G13" i="11"/>
  <c r="N13" s="1"/>
  <c r="G14"/>
  <c r="N14" s="1"/>
  <c r="G15"/>
  <c r="N15" s="1"/>
  <c r="G16"/>
  <c r="N16" s="1"/>
  <c r="G17"/>
  <c r="N17" s="1"/>
  <c r="G18"/>
  <c r="N18" s="1"/>
  <c r="G19"/>
  <c r="N19" s="1"/>
  <c r="B30" i="1"/>
  <c r="AA30" s="1"/>
  <c r="B73"/>
  <c r="C73" s="1"/>
  <c r="E41" i="10"/>
  <c r="B42"/>
  <c r="A40"/>
  <c r="D39"/>
  <c r="J73" i="1"/>
  <c r="L74"/>
  <c r="B50" i="6"/>
  <c r="C51"/>
  <c r="BC74" i="1"/>
  <c r="BD74" s="1"/>
  <c r="BC75"/>
  <c r="BD75" s="1"/>
  <c r="BC76"/>
  <c r="BD76" s="1"/>
  <c r="BC77"/>
  <c r="BD77" s="1"/>
  <c r="BC78"/>
  <c r="BD78" s="1"/>
  <c r="BC79"/>
  <c r="BD79" s="1"/>
  <c r="Y57"/>
  <c r="Y56"/>
  <c r="Y54"/>
  <c r="Y53"/>
  <c r="CD6"/>
  <c r="CF6" s="1"/>
  <c r="CD7"/>
  <c r="CE7"/>
  <c r="CD8"/>
  <c r="CE8"/>
  <c r="CD9"/>
  <c r="CD10"/>
  <c r="CD11"/>
  <c r="CD12"/>
  <c r="CD13"/>
  <c r="CD14"/>
  <c r="CF21"/>
  <c r="CE22"/>
  <c r="CF22" s="1"/>
  <c r="CF35"/>
  <c r="CE36"/>
  <c r="CF36" s="1"/>
  <c r="AU13"/>
  <c r="AV13"/>
  <c r="BQ15"/>
  <c r="BD15" s="1"/>
  <c r="BG15" s="1"/>
  <c r="BQ14"/>
  <c r="BQ13"/>
  <c r="BD13" s="1"/>
  <c r="BG13" s="1"/>
  <c r="BQ12"/>
  <c r="BQ11"/>
  <c r="BD11" s="1"/>
  <c r="BG11" s="1"/>
  <c r="BQ10"/>
  <c r="BQ9"/>
  <c r="BD9" s="1"/>
  <c r="BG9" s="1"/>
  <c r="BQ8"/>
  <c r="BL15"/>
  <c r="BL14"/>
  <c r="BL13"/>
  <c r="BL12"/>
  <c r="BL11"/>
  <c r="BE11" s="1"/>
  <c r="BH11" s="1"/>
  <c r="BL10"/>
  <c r="BE10" s="1"/>
  <c r="BH10" s="1"/>
  <c r="BL9"/>
  <c r="BE9" s="1"/>
  <c r="BH9" s="1"/>
  <c r="BL8"/>
  <c r="BC16"/>
  <c r="BC15"/>
  <c r="BF15" s="1"/>
  <c r="BC14"/>
  <c r="BF14" s="1"/>
  <c r="BC13"/>
  <c r="BF13" s="1"/>
  <c r="BC12"/>
  <c r="BF12" s="1"/>
  <c r="BC11"/>
  <c r="BC10"/>
  <c r="BF10" s="1"/>
  <c r="BC9"/>
  <c r="BF9" s="1"/>
  <c r="BC8"/>
  <c r="BF8" s="1"/>
  <c r="BF11"/>
  <c r="BC26"/>
  <c r="BC25"/>
  <c r="BC24"/>
  <c r="BC23"/>
  <c r="BC22"/>
  <c r="BC21"/>
  <c r="BC20"/>
  <c r="BQ26"/>
  <c r="BQ25"/>
  <c r="BQ24"/>
  <c r="BQ23"/>
  <c r="BQ22"/>
  <c r="BQ21"/>
  <c r="BQ20"/>
  <c r="BE20" s="1"/>
  <c r="BR26"/>
  <c r="BR25"/>
  <c r="BR24"/>
  <c r="BR23"/>
  <c r="BR22"/>
  <c r="BR21"/>
  <c r="BR20"/>
  <c r="BS26"/>
  <c r="BS25"/>
  <c r="BS24"/>
  <c r="BS23"/>
  <c r="BS22"/>
  <c r="BS21"/>
  <c r="BS20"/>
  <c r="BF26"/>
  <c r="BG26" s="1"/>
  <c r="BF25"/>
  <c r="BF24"/>
  <c r="BG24" s="1"/>
  <c r="BF23"/>
  <c r="BF22"/>
  <c r="BG22" s="1"/>
  <c r="BF21"/>
  <c r="BF20"/>
  <c r="BE26"/>
  <c r="BE25"/>
  <c r="BE24"/>
  <c r="BE23"/>
  <c r="BE22"/>
  <c r="BE21"/>
  <c r="BE15"/>
  <c r="BH15" s="1"/>
  <c r="BE14"/>
  <c r="BH14" s="1"/>
  <c r="BE13"/>
  <c r="BH13" s="1"/>
  <c r="BE12"/>
  <c r="BH12" s="1"/>
  <c r="BE8"/>
  <c r="BH8" s="1"/>
  <c r="BD14"/>
  <c r="BG14" s="1"/>
  <c r="BD12"/>
  <c r="BG12" s="1"/>
  <c r="BD10"/>
  <c r="BG10" s="1"/>
  <c r="BD8"/>
  <c r="BG8" s="1"/>
  <c r="AN134"/>
  <c r="AQ134"/>
  <c r="AN135"/>
  <c r="AQ135"/>
  <c r="AQ136"/>
  <c r="AQ137"/>
  <c r="AN139"/>
  <c r="AQ139"/>
  <c r="AQ140"/>
  <c r="AQ141"/>
  <c r="AQ142"/>
  <c r="AN144"/>
  <c r="AQ144"/>
  <c r="AQ145"/>
  <c r="AQ146"/>
  <c r="AQ147"/>
  <c r="AN149"/>
  <c r="AQ149"/>
  <c r="AQ150"/>
  <c r="AQ151"/>
  <c r="AQ152"/>
  <c r="AN154"/>
  <c r="AQ154"/>
  <c r="AQ155"/>
  <c r="AQ156"/>
  <c r="AQ157"/>
  <c r="AN159"/>
  <c r="AQ159"/>
  <c r="AQ160"/>
  <c r="AQ161"/>
  <c r="AQ162"/>
  <c r="AN164"/>
  <c r="AQ164"/>
  <c r="AQ165"/>
  <c r="AQ166"/>
  <c r="AQ167"/>
  <c r="AN169"/>
  <c r="AQ169"/>
  <c r="BL169" s="1"/>
  <c r="AQ170"/>
  <c r="AQ171"/>
  <c r="AQ172"/>
  <c r="AN174"/>
  <c r="AQ174"/>
  <c r="AQ175"/>
  <c r="AQ176"/>
  <c r="AQ177"/>
  <c r="BV159" l="1"/>
  <c r="BL149"/>
  <c r="BL139"/>
  <c r="BJ135"/>
  <c r="CF8"/>
  <c r="CF7"/>
  <c r="A49" i="6"/>
  <c r="I48"/>
  <c r="D48"/>
  <c r="E48" s="1"/>
  <c r="F48" s="1"/>
  <c r="G48" s="1"/>
  <c r="C111" i="10"/>
  <c r="J110"/>
  <c r="K110" s="1"/>
  <c r="H110"/>
  <c r="F110"/>
  <c r="I110" s="1"/>
  <c r="F111"/>
  <c r="I111" s="1"/>
  <c r="BK134" i="1"/>
  <c r="G39" i="10"/>
  <c r="L39"/>
  <c r="H47" i="6"/>
  <c r="O47"/>
  <c r="K109" i="10"/>
  <c r="AV74" i="15"/>
  <c r="AV78" s="1"/>
  <c r="C71"/>
  <c r="C142"/>
  <c r="C143"/>
  <c r="E99"/>
  <c r="E118" s="1"/>
  <c r="E91"/>
  <c r="E110" s="1"/>
  <c r="E96"/>
  <c r="E115" s="1"/>
  <c r="E95"/>
  <c r="E114" s="1"/>
  <c r="E92"/>
  <c r="E111" s="1"/>
  <c r="E15" i="20"/>
  <c r="D88" i="13"/>
  <c r="A87"/>
  <c r="P51" i="17"/>
  <c r="N52" s="1"/>
  <c r="F73" i="15"/>
  <c r="F74"/>
  <c r="C134"/>
  <c r="C133"/>
  <c r="C135"/>
  <c r="E100"/>
  <c r="E119" s="1"/>
  <c r="E97"/>
  <c r="E116" s="1"/>
  <c r="E94"/>
  <c r="E113" s="1"/>
  <c r="E90"/>
  <c r="E109" s="1"/>
  <c r="E98"/>
  <c r="E117" s="1"/>
  <c r="E93"/>
  <c r="E112" s="1"/>
  <c r="C136"/>
  <c r="E83"/>
  <c r="E106" s="1"/>
  <c r="C137"/>
  <c r="C139"/>
  <c r="C138"/>
  <c r="C140"/>
  <c r="F98"/>
  <c r="F117" s="1"/>
  <c r="F82"/>
  <c r="F70" s="1"/>
  <c r="C141"/>
  <c r="F95"/>
  <c r="F114" s="1"/>
  <c r="F97"/>
  <c r="F116" s="1"/>
  <c r="F91"/>
  <c r="F110" s="1"/>
  <c r="F90"/>
  <c r="F109" s="1"/>
  <c r="F93"/>
  <c r="F112" s="1"/>
  <c r="F100"/>
  <c r="F119" s="1"/>
  <c r="F94"/>
  <c r="F113" s="1"/>
  <c r="F96"/>
  <c r="F115" s="1"/>
  <c r="F92"/>
  <c r="F111" s="1"/>
  <c r="D70"/>
  <c r="D83"/>
  <c r="D121"/>
  <c r="D122" s="1"/>
  <c r="D123" s="1"/>
  <c r="D124" s="1"/>
  <c r="D125"/>
  <c r="D126" s="1"/>
  <c r="D127" s="1"/>
  <c r="D128" s="1"/>
  <c r="D129" s="1"/>
  <c r="D130" s="1"/>
  <c r="D131" s="1"/>
  <c r="G81"/>
  <c r="G85" s="1"/>
  <c r="G100" s="1"/>
  <c r="G119" s="1"/>
  <c r="G72"/>
  <c r="G66" s="1"/>
  <c r="AA59" i="1"/>
  <c r="AC57"/>
  <c r="H103" i="15"/>
  <c r="H108"/>
  <c r="I105"/>
  <c r="I107"/>
  <c r="I84"/>
  <c r="AU19"/>
  <c r="AT20"/>
  <c r="AU16"/>
  <c r="I77"/>
  <c r="I78"/>
  <c r="H80"/>
  <c r="AV17"/>
  <c r="BT174" i="1"/>
  <c r="BP154"/>
  <c r="BP144"/>
  <c r="BT169"/>
  <c r="BV164"/>
  <c r="BX154"/>
  <c r="BT149"/>
  <c r="BX144"/>
  <c r="BT139"/>
  <c r="B74"/>
  <c r="C74" s="1"/>
  <c r="B31"/>
  <c r="AA31" s="1"/>
  <c r="AA74"/>
  <c r="AF74" s="1"/>
  <c r="E42" i="10"/>
  <c r="B43"/>
  <c r="A41"/>
  <c r="D40"/>
  <c r="L40" s="1"/>
  <c r="J74" i="1"/>
  <c r="L75"/>
  <c r="BV135"/>
  <c r="BJ174"/>
  <c r="BP169"/>
  <c r="BJ154"/>
  <c r="BP149"/>
  <c r="BJ144"/>
  <c r="BP139"/>
  <c r="BN135"/>
  <c r="CE37"/>
  <c r="CF37" s="1"/>
  <c r="BW134"/>
  <c r="BO134"/>
  <c r="BG20"/>
  <c r="BX174"/>
  <c r="BP174"/>
  <c r="BX169"/>
  <c r="BJ169"/>
  <c r="BJ164"/>
  <c r="BN159"/>
  <c r="BT154"/>
  <c r="BL154"/>
  <c r="BX149"/>
  <c r="BJ149"/>
  <c r="BT144"/>
  <c r="BL144"/>
  <c r="BX139"/>
  <c r="BJ139"/>
  <c r="BZ135"/>
  <c r="BR135"/>
  <c r="BK135"/>
  <c r="BS134"/>
  <c r="BM134"/>
  <c r="BH22"/>
  <c r="BH24"/>
  <c r="BH26"/>
  <c r="BG21"/>
  <c r="BG23"/>
  <c r="BG25"/>
  <c r="CE23"/>
  <c r="B51" i="6"/>
  <c r="C52"/>
  <c r="BL174" i="1"/>
  <c r="BN164"/>
  <c r="BZ174"/>
  <c r="BV174"/>
  <c r="BR174"/>
  <c r="BN174"/>
  <c r="BK174"/>
  <c r="BZ169"/>
  <c r="BV169"/>
  <c r="BR169"/>
  <c r="BN169"/>
  <c r="BK169"/>
  <c r="BZ164"/>
  <c r="BR164"/>
  <c r="BZ159"/>
  <c r="BR159"/>
  <c r="BJ159"/>
  <c r="BZ154"/>
  <c r="BV154"/>
  <c r="BR154"/>
  <c r="BN154"/>
  <c r="BK154"/>
  <c r="BZ149"/>
  <c r="BV149"/>
  <c r="BR149"/>
  <c r="BN149"/>
  <c r="BK149"/>
  <c r="BZ144"/>
  <c r="BV144"/>
  <c r="BR144"/>
  <c r="BN144"/>
  <c r="BK144"/>
  <c r="BZ139"/>
  <c r="BV139"/>
  <c r="BR139"/>
  <c r="BN139"/>
  <c r="BK139"/>
  <c r="BX135"/>
  <c r="BT135"/>
  <c r="BP135"/>
  <c r="BL135"/>
  <c r="BY134"/>
  <c r="BU134"/>
  <c r="BQ134"/>
  <c r="BJ134"/>
  <c r="BH21"/>
  <c r="BH23"/>
  <c r="BH25"/>
  <c r="BH20"/>
  <c r="CE9"/>
  <c r="BK164"/>
  <c r="BM164"/>
  <c r="BO164"/>
  <c r="BQ164"/>
  <c r="BS164"/>
  <c r="BU164"/>
  <c r="BW164"/>
  <c r="BY164"/>
  <c r="AN165"/>
  <c r="BL165" s="1"/>
  <c r="BK159"/>
  <c r="BM159"/>
  <c r="BO159"/>
  <c r="BQ159"/>
  <c r="BS159"/>
  <c r="BU159"/>
  <c r="BW159"/>
  <c r="BY159"/>
  <c r="AN160"/>
  <c r="BL160" s="1"/>
  <c r="BJ165"/>
  <c r="BR165"/>
  <c r="BZ165"/>
  <c r="BJ160"/>
  <c r="BZ160"/>
  <c r="AN175"/>
  <c r="BX175" s="1"/>
  <c r="BY174"/>
  <c r="BW174"/>
  <c r="BU174"/>
  <c r="BS174"/>
  <c r="BQ174"/>
  <c r="BO174"/>
  <c r="BM174"/>
  <c r="AN170"/>
  <c r="BX170" s="1"/>
  <c r="BY169"/>
  <c r="BW169"/>
  <c r="BU169"/>
  <c r="BS169"/>
  <c r="BQ169"/>
  <c r="BO169"/>
  <c r="BM169"/>
  <c r="BX164"/>
  <c r="BT164"/>
  <c r="BP164"/>
  <c r="BL164"/>
  <c r="BX159"/>
  <c r="BT159"/>
  <c r="BP159"/>
  <c r="BL159"/>
  <c r="AN155"/>
  <c r="BX155" s="1"/>
  <c r="BY154"/>
  <c r="BW154"/>
  <c r="BU154"/>
  <c r="BS154"/>
  <c r="BQ154"/>
  <c r="BO154"/>
  <c r="BM154"/>
  <c r="AN150"/>
  <c r="BX150" s="1"/>
  <c r="BY149"/>
  <c r="BW149"/>
  <c r="BU149"/>
  <c r="BS149"/>
  <c r="BQ149"/>
  <c r="BO149"/>
  <c r="BM149"/>
  <c r="AN145"/>
  <c r="BX145" s="1"/>
  <c r="BY144"/>
  <c r="BW144"/>
  <c r="BU144"/>
  <c r="BS144"/>
  <c r="BQ144"/>
  <c r="BO144"/>
  <c r="BM144"/>
  <c r="AN140"/>
  <c r="BX140" s="1"/>
  <c r="BY139"/>
  <c r="BW139"/>
  <c r="BU139"/>
  <c r="BS139"/>
  <c r="BQ139"/>
  <c r="BO139"/>
  <c r="BM139"/>
  <c r="AN136"/>
  <c r="BJ136" s="1"/>
  <c r="BY135"/>
  <c r="BW135"/>
  <c r="BU135"/>
  <c r="BS135"/>
  <c r="BQ135"/>
  <c r="BO135"/>
  <c r="BM135"/>
  <c r="BZ134"/>
  <c r="BX134"/>
  <c r="BV134"/>
  <c r="BT134"/>
  <c r="BR134"/>
  <c r="BP134"/>
  <c r="BN134"/>
  <c r="BL134"/>
  <c r="C112" i="10" l="1"/>
  <c r="J111"/>
  <c r="H111"/>
  <c r="F112"/>
  <c r="I112" s="1"/>
  <c r="H48" i="6"/>
  <c r="O48"/>
  <c r="I49"/>
  <c r="A50"/>
  <c r="D49"/>
  <c r="E49" s="1"/>
  <c r="F49" s="1"/>
  <c r="G49" s="1"/>
  <c r="AX74" i="15"/>
  <c r="AX78" s="1"/>
  <c r="E71"/>
  <c r="E142"/>
  <c r="E143"/>
  <c r="F83"/>
  <c r="AY74" s="1"/>
  <c r="AY79" s="1"/>
  <c r="F121"/>
  <c r="F122" s="1"/>
  <c r="F123" s="1"/>
  <c r="F124" s="1"/>
  <c r="E121"/>
  <c r="E122" s="1"/>
  <c r="E123" s="1"/>
  <c r="E124" s="1"/>
  <c r="BR160" i="1"/>
  <c r="BV165"/>
  <c r="BN165"/>
  <c r="CE38"/>
  <c r="CF38" s="1"/>
  <c r="E16" i="20"/>
  <c r="D89" i="13"/>
  <c r="A88"/>
  <c r="Q52" i="17"/>
  <c r="P52" s="1"/>
  <c r="N53" s="1"/>
  <c r="G73" i="15"/>
  <c r="G74"/>
  <c r="E125"/>
  <c r="E126" s="1"/>
  <c r="E127" s="1"/>
  <c r="E128" s="1"/>
  <c r="E129" s="1"/>
  <c r="E130" s="1"/>
  <c r="E131" s="1"/>
  <c r="F125"/>
  <c r="F126" s="1"/>
  <c r="F127" s="1"/>
  <c r="F128" s="1"/>
  <c r="F129" s="1"/>
  <c r="F130" s="1"/>
  <c r="F131" s="1"/>
  <c r="G91"/>
  <c r="G110" s="1"/>
  <c r="G82"/>
  <c r="G70" s="1"/>
  <c r="G92"/>
  <c r="G111" s="1"/>
  <c r="G96"/>
  <c r="G115" s="1"/>
  <c r="G99"/>
  <c r="G118" s="1"/>
  <c r="G95"/>
  <c r="G114" s="1"/>
  <c r="AW74"/>
  <c r="AW78" s="1"/>
  <c r="D71"/>
  <c r="D106"/>
  <c r="E133"/>
  <c r="E134"/>
  <c r="E135"/>
  <c r="E136"/>
  <c r="E137"/>
  <c r="E139"/>
  <c r="E141"/>
  <c r="H81"/>
  <c r="H72"/>
  <c r="H66" s="1"/>
  <c r="E138"/>
  <c r="E140"/>
  <c r="G98"/>
  <c r="G117" s="1"/>
  <c r="G94"/>
  <c r="G113" s="1"/>
  <c r="G90"/>
  <c r="G109" s="1"/>
  <c r="G97"/>
  <c r="G116" s="1"/>
  <c r="G93"/>
  <c r="G112" s="1"/>
  <c r="BV160" i="1"/>
  <c r="BN160"/>
  <c r="I103" i="15"/>
  <c r="I108"/>
  <c r="J105"/>
  <c r="J107"/>
  <c r="J84"/>
  <c r="AU20"/>
  <c r="AT21"/>
  <c r="AU15"/>
  <c r="J77"/>
  <c r="AV18"/>
  <c r="J78"/>
  <c r="I80"/>
  <c r="BL175" i="1"/>
  <c r="B32"/>
  <c r="AA32" s="1"/>
  <c r="B75"/>
  <c r="C75" s="1"/>
  <c r="AA75"/>
  <c r="AF75" s="1"/>
  <c r="B44" i="10"/>
  <c r="E43"/>
  <c r="G40"/>
  <c r="A42"/>
  <c r="D41"/>
  <c r="L41" s="1"/>
  <c r="J75" i="1"/>
  <c r="L76"/>
  <c r="BL170"/>
  <c r="BX165"/>
  <c r="BT165"/>
  <c r="BP165"/>
  <c r="CF23"/>
  <c r="CE24"/>
  <c r="BT170"/>
  <c r="BT175"/>
  <c r="BX160"/>
  <c r="BT160"/>
  <c r="BP160"/>
  <c r="C53" i="6"/>
  <c r="B52"/>
  <c r="CE39" i="1"/>
  <c r="BP170"/>
  <c r="BP175"/>
  <c r="CF9"/>
  <c r="CE10"/>
  <c r="BK170"/>
  <c r="BM170"/>
  <c r="BO170"/>
  <c r="BQ170"/>
  <c r="BS170"/>
  <c r="BU170"/>
  <c r="BW170"/>
  <c r="BY170"/>
  <c r="AN171"/>
  <c r="BO175"/>
  <c r="BS175"/>
  <c r="BW175"/>
  <c r="AN176"/>
  <c r="BK175"/>
  <c r="BM175"/>
  <c r="BQ175"/>
  <c r="BU175"/>
  <c r="BY175"/>
  <c r="BM165"/>
  <c r="BQ165"/>
  <c r="BU165"/>
  <c r="BY165"/>
  <c r="BK165"/>
  <c r="BO165"/>
  <c r="BS165"/>
  <c r="BW165"/>
  <c r="AN166"/>
  <c r="BL136"/>
  <c r="BP136"/>
  <c r="BT136"/>
  <c r="BX136"/>
  <c r="BL140"/>
  <c r="BP140"/>
  <c r="BT140"/>
  <c r="BL145"/>
  <c r="BP145"/>
  <c r="BT145"/>
  <c r="BL150"/>
  <c r="BP150"/>
  <c r="BT150"/>
  <c r="BL155"/>
  <c r="BP155"/>
  <c r="BT155"/>
  <c r="BN170"/>
  <c r="BR170"/>
  <c r="BV170"/>
  <c r="BZ170"/>
  <c r="BN175"/>
  <c r="BR175"/>
  <c r="BV175"/>
  <c r="BZ175"/>
  <c r="BK136"/>
  <c r="BM136"/>
  <c r="BO136"/>
  <c r="BQ136"/>
  <c r="BS136"/>
  <c r="BU136"/>
  <c r="BW136"/>
  <c r="BY136"/>
  <c r="AN137"/>
  <c r="BK140"/>
  <c r="BM140"/>
  <c r="BO140"/>
  <c r="BQ140"/>
  <c r="BS140"/>
  <c r="BU140"/>
  <c r="BW140"/>
  <c r="BY140"/>
  <c r="AN141"/>
  <c r="BK145"/>
  <c r="BM145"/>
  <c r="BO145"/>
  <c r="BQ145"/>
  <c r="BS145"/>
  <c r="BU145"/>
  <c r="BW145"/>
  <c r="BY145"/>
  <c r="AN146"/>
  <c r="BK150"/>
  <c r="BM150"/>
  <c r="BO150"/>
  <c r="BQ150"/>
  <c r="BS150"/>
  <c r="BU150"/>
  <c r="BW150"/>
  <c r="BY150"/>
  <c r="AN151"/>
  <c r="BK155"/>
  <c r="BM155"/>
  <c r="BO155"/>
  <c r="BQ155"/>
  <c r="BS155"/>
  <c r="BU155"/>
  <c r="BW155"/>
  <c r="BY155"/>
  <c r="AN156"/>
  <c r="BM160"/>
  <c r="BQ160"/>
  <c r="BU160"/>
  <c r="BY160"/>
  <c r="BK160"/>
  <c r="BO160"/>
  <c r="BS160"/>
  <c r="BW160"/>
  <c r="AN161"/>
  <c r="BN136"/>
  <c r="BR136"/>
  <c r="BV136"/>
  <c r="BZ136"/>
  <c r="BN140"/>
  <c r="BR140"/>
  <c r="BV140"/>
  <c r="BZ140"/>
  <c r="BN145"/>
  <c r="BR145"/>
  <c r="BV145"/>
  <c r="BZ145"/>
  <c r="BN150"/>
  <c r="BR150"/>
  <c r="BV150"/>
  <c r="BZ150"/>
  <c r="BN155"/>
  <c r="BR155"/>
  <c r="BV155"/>
  <c r="BZ155"/>
  <c r="BJ140"/>
  <c r="BJ145"/>
  <c r="BJ150"/>
  <c r="BJ155"/>
  <c r="BJ170"/>
  <c r="BJ175"/>
  <c r="I50" i="6" l="1"/>
  <c r="A51"/>
  <c r="D50"/>
  <c r="E50" s="1"/>
  <c r="F50" s="1"/>
  <c r="G50" s="1"/>
  <c r="K111" i="10"/>
  <c r="H49" i="6"/>
  <c r="O49"/>
  <c r="C113" i="10"/>
  <c r="F113" s="1"/>
  <c r="I113" s="1"/>
  <c r="J112"/>
  <c r="H112"/>
  <c r="G83" i="15"/>
  <c r="G71" s="1"/>
  <c r="F71"/>
  <c r="F106"/>
  <c r="F142" s="1"/>
  <c r="E17" i="20"/>
  <c r="AY78" i="15"/>
  <c r="D90" i="13"/>
  <c r="A89"/>
  <c r="Q53" i="17"/>
  <c r="P53" s="1"/>
  <c r="N54" s="1"/>
  <c r="H73" i="15"/>
  <c r="H74"/>
  <c r="G125"/>
  <c r="G126" s="1"/>
  <c r="G127" s="1"/>
  <c r="G128" s="1"/>
  <c r="G129" s="1"/>
  <c r="G130" s="1"/>
  <c r="G131" s="1"/>
  <c r="G121"/>
  <c r="G122" s="1"/>
  <c r="G123" s="1"/>
  <c r="G124" s="1"/>
  <c r="H85"/>
  <c r="H91" s="1"/>
  <c r="H110" s="1"/>
  <c r="D143"/>
  <c r="D141"/>
  <c r="D139"/>
  <c r="D137"/>
  <c r="D135"/>
  <c r="D133"/>
  <c r="D142"/>
  <c r="D140"/>
  <c r="D138"/>
  <c r="D136"/>
  <c r="D134"/>
  <c r="G106"/>
  <c r="G142" s="1"/>
  <c r="I81"/>
  <c r="I72"/>
  <c r="I66" s="1"/>
  <c r="J103"/>
  <c r="J108"/>
  <c r="K105"/>
  <c r="K107"/>
  <c r="K84"/>
  <c r="F143"/>
  <c r="F135"/>
  <c r="H58"/>
  <c r="I58" s="1"/>
  <c r="AU14"/>
  <c r="AT22"/>
  <c r="AU21"/>
  <c r="K77"/>
  <c r="K78"/>
  <c r="J80"/>
  <c r="AV19"/>
  <c r="AW18"/>
  <c r="AW17"/>
  <c r="B76" i="1"/>
  <c r="C76" s="1"/>
  <c r="B33"/>
  <c r="AA33" s="1"/>
  <c r="AA76"/>
  <c r="AF76" s="1"/>
  <c r="B45" i="10"/>
  <c r="E44"/>
  <c r="G41"/>
  <c r="A43"/>
  <c r="D42"/>
  <c r="L42" s="1"/>
  <c r="J76" i="1"/>
  <c r="L77"/>
  <c r="CF24"/>
  <c r="CE25"/>
  <c r="B53" i="6"/>
  <c r="CF39" i="1"/>
  <c r="CE40"/>
  <c r="CF10"/>
  <c r="CE11"/>
  <c r="BK161"/>
  <c r="BM161"/>
  <c r="BO161"/>
  <c r="BQ161"/>
  <c r="BS161"/>
  <c r="BU161"/>
  <c r="BW161"/>
  <c r="BY161"/>
  <c r="AN162"/>
  <c r="BL161"/>
  <c r="BP161"/>
  <c r="BT161"/>
  <c r="BX161"/>
  <c r="BJ161"/>
  <c r="BN161"/>
  <c r="BR161"/>
  <c r="BV161"/>
  <c r="BZ161"/>
  <c r="BJ151"/>
  <c r="BL151"/>
  <c r="BN151"/>
  <c r="BP151"/>
  <c r="BR151"/>
  <c r="BT151"/>
  <c r="BV151"/>
  <c r="BX151"/>
  <c r="BZ151"/>
  <c r="BK151"/>
  <c r="BM151"/>
  <c r="BO151"/>
  <c r="BQ151"/>
  <c r="BS151"/>
  <c r="BU151"/>
  <c r="BW151"/>
  <c r="BY151"/>
  <c r="AN152"/>
  <c r="BJ141"/>
  <c r="BL141"/>
  <c r="BN141"/>
  <c r="BP141"/>
  <c r="BR141"/>
  <c r="BT141"/>
  <c r="BV141"/>
  <c r="BX141"/>
  <c r="BZ141"/>
  <c r="BK141"/>
  <c r="BM141"/>
  <c r="BO141"/>
  <c r="BQ141"/>
  <c r="BS141"/>
  <c r="BU141"/>
  <c r="BW141"/>
  <c r="BY141"/>
  <c r="AN142"/>
  <c r="BK166"/>
  <c r="BM166"/>
  <c r="BO166"/>
  <c r="BQ166"/>
  <c r="BS166"/>
  <c r="BU166"/>
  <c r="BW166"/>
  <c r="BY166"/>
  <c r="AN167"/>
  <c r="BL166"/>
  <c r="BP166"/>
  <c r="BT166"/>
  <c r="BX166"/>
  <c r="BJ166"/>
  <c r="BN166"/>
  <c r="BR166"/>
  <c r="BV166"/>
  <c r="BZ166"/>
  <c r="BK176"/>
  <c r="BM176"/>
  <c r="BO176"/>
  <c r="BQ176"/>
  <c r="BS176"/>
  <c r="BU176"/>
  <c r="BW176"/>
  <c r="BY176"/>
  <c r="AN177"/>
  <c r="BL176"/>
  <c r="BP176"/>
  <c r="BT176"/>
  <c r="BX176"/>
  <c r="BJ176"/>
  <c r="BN176"/>
  <c r="BR176"/>
  <c r="BV176"/>
  <c r="BZ176"/>
  <c r="BK171"/>
  <c r="BM171"/>
  <c r="BO171"/>
  <c r="BQ171"/>
  <c r="BS171"/>
  <c r="BU171"/>
  <c r="BW171"/>
  <c r="BY171"/>
  <c r="AN172"/>
  <c r="BJ171"/>
  <c r="BL171"/>
  <c r="BN171"/>
  <c r="BP171"/>
  <c r="BR171"/>
  <c r="BT171"/>
  <c r="BV171"/>
  <c r="BX171"/>
  <c r="BZ171"/>
  <c r="BJ156"/>
  <c r="BL156"/>
  <c r="BN156"/>
  <c r="BP156"/>
  <c r="BR156"/>
  <c r="BT156"/>
  <c r="BV156"/>
  <c r="BX156"/>
  <c r="BZ156"/>
  <c r="BK156"/>
  <c r="BM156"/>
  <c r="BO156"/>
  <c r="BQ156"/>
  <c r="BS156"/>
  <c r="BU156"/>
  <c r="BW156"/>
  <c r="BY156"/>
  <c r="AN157"/>
  <c r="BJ146"/>
  <c r="BL146"/>
  <c r="BN146"/>
  <c r="BP146"/>
  <c r="BR146"/>
  <c r="BT146"/>
  <c r="BV146"/>
  <c r="BX146"/>
  <c r="BZ146"/>
  <c r="BK146"/>
  <c r="BM146"/>
  <c r="BO146"/>
  <c r="BQ146"/>
  <c r="BS146"/>
  <c r="BU146"/>
  <c r="BW146"/>
  <c r="BY146"/>
  <c r="AN147"/>
  <c r="BJ137"/>
  <c r="BJ138" s="1"/>
  <c r="BL137"/>
  <c r="BL138" s="1"/>
  <c r="BN137"/>
  <c r="BN138" s="1"/>
  <c r="BP137"/>
  <c r="BP138" s="1"/>
  <c r="BR137"/>
  <c r="BR138" s="1"/>
  <c r="BT137"/>
  <c r="BT138" s="1"/>
  <c r="BV137"/>
  <c r="BV138" s="1"/>
  <c r="BX137"/>
  <c r="BX138" s="1"/>
  <c r="BZ137"/>
  <c r="BZ138" s="1"/>
  <c r="BK137"/>
  <c r="BK138" s="1"/>
  <c r="BM137"/>
  <c r="BM138" s="1"/>
  <c r="BO137"/>
  <c r="BO138" s="1"/>
  <c r="BQ137"/>
  <c r="BQ138" s="1"/>
  <c r="BS137"/>
  <c r="BS138" s="1"/>
  <c r="BU137"/>
  <c r="BU138" s="1"/>
  <c r="BW137"/>
  <c r="BW138" s="1"/>
  <c r="BY137"/>
  <c r="BY138" s="1"/>
  <c r="H96" i="15" l="1"/>
  <c r="H115" s="1"/>
  <c r="K112" i="10"/>
  <c r="A52" i="6"/>
  <c r="I51"/>
  <c r="D51"/>
  <c r="E51" s="1"/>
  <c r="F51" s="1"/>
  <c r="G51" s="1"/>
  <c r="C114" i="10"/>
  <c r="J113"/>
  <c r="K113" s="1"/>
  <c r="H113"/>
  <c r="F114"/>
  <c r="I114" s="1"/>
  <c r="H50" i="6"/>
  <c r="O50"/>
  <c r="AZ74" i="15"/>
  <c r="AZ78" s="1"/>
  <c r="F139"/>
  <c r="F133"/>
  <c r="F137"/>
  <c r="F141"/>
  <c r="F134"/>
  <c r="F136"/>
  <c r="F138"/>
  <c r="F140"/>
  <c r="E18" i="20"/>
  <c r="D91" i="13"/>
  <c r="A90"/>
  <c r="Q54" i="17"/>
  <c r="P54" s="1"/>
  <c r="I73" i="15"/>
  <c r="I74"/>
  <c r="G135"/>
  <c r="H93"/>
  <c r="H112" s="1"/>
  <c r="G133"/>
  <c r="H97"/>
  <c r="H116" s="1"/>
  <c r="G134"/>
  <c r="G139"/>
  <c r="H90"/>
  <c r="H109" s="1"/>
  <c r="G137"/>
  <c r="G141"/>
  <c r="G136"/>
  <c r="G138"/>
  <c r="G140"/>
  <c r="G143"/>
  <c r="I85"/>
  <c r="I90" s="1"/>
  <c r="I109" s="1"/>
  <c r="H94"/>
  <c r="H113" s="1"/>
  <c r="I95"/>
  <c r="I114" s="1"/>
  <c r="H98"/>
  <c r="H117" s="1"/>
  <c r="I82"/>
  <c r="I70" s="1"/>
  <c r="H100"/>
  <c r="H119" s="1"/>
  <c r="H92"/>
  <c r="H111" s="1"/>
  <c r="H95"/>
  <c r="H114" s="1"/>
  <c r="H82"/>
  <c r="H99"/>
  <c r="H118" s="1"/>
  <c r="J81"/>
  <c r="J85" s="1"/>
  <c r="J72"/>
  <c r="J66" s="1"/>
  <c r="I96"/>
  <c r="I115" s="1"/>
  <c r="K103"/>
  <c r="K108"/>
  <c r="L105"/>
  <c r="L107"/>
  <c r="L84"/>
  <c r="L88" s="1"/>
  <c r="AU13"/>
  <c r="AU22"/>
  <c r="L77"/>
  <c r="M77"/>
  <c r="AV20"/>
  <c r="AW19"/>
  <c r="AW16"/>
  <c r="L78"/>
  <c r="M78" s="1"/>
  <c r="K80"/>
  <c r="B34" i="1"/>
  <c r="B77"/>
  <c r="C77" s="1"/>
  <c r="AA77"/>
  <c r="AF77" s="1"/>
  <c r="B46" i="10"/>
  <c r="G42"/>
  <c r="E45"/>
  <c r="A44"/>
  <c r="D43"/>
  <c r="L43" s="1"/>
  <c r="J77" i="1"/>
  <c r="L78"/>
  <c r="CF25"/>
  <c r="CE26"/>
  <c r="CF40"/>
  <c r="CE41"/>
  <c r="CF11"/>
  <c r="CE12"/>
  <c r="BK172"/>
  <c r="BM172"/>
  <c r="BO172"/>
  <c r="BQ172"/>
  <c r="BS172"/>
  <c r="BU172"/>
  <c r="BW172"/>
  <c r="BY172"/>
  <c r="BX172"/>
  <c r="BT172"/>
  <c r="BP172"/>
  <c r="BL172"/>
  <c r="BJ172"/>
  <c r="BZ172"/>
  <c r="BV172"/>
  <c r="BR172"/>
  <c r="BN172"/>
  <c r="BM177"/>
  <c r="BO177"/>
  <c r="BS177"/>
  <c r="BW177"/>
  <c r="BK177"/>
  <c r="BQ177"/>
  <c r="BU177"/>
  <c r="BY177"/>
  <c r="BX177"/>
  <c r="BT177"/>
  <c r="BP177"/>
  <c r="BL177"/>
  <c r="BJ177"/>
  <c r="BZ177"/>
  <c r="BV177"/>
  <c r="BR177"/>
  <c r="BN177"/>
  <c r="BM167"/>
  <c r="BQ167"/>
  <c r="BT167"/>
  <c r="BV167"/>
  <c r="BX167"/>
  <c r="BZ167"/>
  <c r="BK167"/>
  <c r="BO167"/>
  <c r="BS167"/>
  <c r="BU167"/>
  <c r="BW167"/>
  <c r="BY167"/>
  <c r="BL167"/>
  <c r="BP167"/>
  <c r="BJ167"/>
  <c r="BN167"/>
  <c r="BR167"/>
  <c r="BM162"/>
  <c r="BQ162"/>
  <c r="BU162"/>
  <c r="BY162"/>
  <c r="BK162"/>
  <c r="BO162"/>
  <c r="BS162"/>
  <c r="BW162"/>
  <c r="BL162"/>
  <c r="BP162"/>
  <c r="BT162"/>
  <c r="BX162"/>
  <c r="BJ162"/>
  <c r="BN162"/>
  <c r="BR162"/>
  <c r="BV162"/>
  <c r="BZ162"/>
  <c r="BK147"/>
  <c r="BM147"/>
  <c r="BO147"/>
  <c r="BQ147"/>
  <c r="BS147"/>
  <c r="BU147"/>
  <c r="BW147"/>
  <c r="BY147"/>
  <c r="BZ147"/>
  <c r="BV147"/>
  <c r="BR147"/>
  <c r="BN147"/>
  <c r="BJ147"/>
  <c r="BX147"/>
  <c r="BT147"/>
  <c r="BP147"/>
  <c r="BL147"/>
  <c r="BK157"/>
  <c r="BM157"/>
  <c r="BO157"/>
  <c r="BQ157"/>
  <c r="BS157"/>
  <c r="BU157"/>
  <c r="BY157"/>
  <c r="BW157"/>
  <c r="BZ157"/>
  <c r="BV157"/>
  <c r="BR157"/>
  <c r="BN157"/>
  <c r="BJ157"/>
  <c r="BX157"/>
  <c r="BT157"/>
  <c r="BP157"/>
  <c r="BL157"/>
  <c r="BK142"/>
  <c r="BM142"/>
  <c r="BO142"/>
  <c r="BQ142"/>
  <c r="BS142"/>
  <c r="BU142"/>
  <c r="BW142"/>
  <c r="BY142"/>
  <c r="BZ142"/>
  <c r="BV142"/>
  <c r="BR142"/>
  <c r="BN142"/>
  <c r="BJ142"/>
  <c r="BX142"/>
  <c r="BT142"/>
  <c r="BP142"/>
  <c r="BL142"/>
  <c r="BK152"/>
  <c r="BM152"/>
  <c r="BO152"/>
  <c r="BQ152"/>
  <c r="BS152"/>
  <c r="BU152"/>
  <c r="BW152"/>
  <c r="BY152"/>
  <c r="BZ152"/>
  <c r="BV152"/>
  <c r="BR152"/>
  <c r="BN152"/>
  <c r="BJ152"/>
  <c r="BX152"/>
  <c r="BT152"/>
  <c r="BP152"/>
  <c r="BL152"/>
  <c r="AW12"/>
  <c r="AW11"/>
  <c r="AW9"/>
  <c r="AW10"/>
  <c r="AX12"/>
  <c r="AX11"/>
  <c r="AX9"/>
  <c r="AX10"/>
  <c r="AW61"/>
  <c r="AW56"/>
  <c r="AW62" s="1"/>
  <c r="AR61"/>
  <c r="AR56"/>
  <c r="AR57" s="1"/>
  <c r="AR60" s="1"/>
  <c r="AS61"/>
  <c r="AS56"/>
  <c r="AS62" s="1"/>
  <c r="AQ61"/>
  <c r="AQ56"/>
  <c r="AQ62" s="1"/>
  <c r="AV61"/>
  <c r="AU61"/>
  <c r="AV56"/>
  <c r="AV62" s="1"/>
  <c r="AU56"/>
  <c r="AU62" s="1"/>
  <c r="AT61"/>
  <c r="AT56"/>
  <c r="AT62" s="1"/>
  <c r="AR12"/>
  <c r="AR11"/>
  <c r="AR10"/>
  <c r="AR9"/>
  <c r="C115" i="10" l="1"/>
  <c r="J114"/>
  <c r="H114"/>
  <c r="F115"/>
  <c r="I115" s="1"/>
  <c r="H51" i="6"/>
  <c r="O51"/>
  <c r="I52"/>
  <c r="A53"/>
  <c r="D52"/>
  <c r="E52" s="1"/>
  <c r="F52" s="1"/>
  <c r="G52" s="1"/>
  <c r="AZ79" i="15"/>
  <c r="J100"/>
  <c r="J119" s="1"/>
  <c r="J93"/>
  <c r="J112" s="1"/>
  <c r="I93"/>
  <c r="I112" s="1"/>
  <c r="I91"/>
  <c r="I110" s="1"/>
  <c r="I83"/>
  <c r="I71" s="1"/>
  <c r="I92"/>
  <c r="I111" s="1"/>
  <c r="I100"/>
  <c r="I119" s="1"/>
  <c r="I97"/>
  <c r="I116" s="1"/>
  <c r="I94"/>
  <c r="I113" s="1"/>
  <c r="I98"/>
  <c r="I117" s="1"/>
  <c r="H121"/>
  <c r="H122" s="1"/>
  <c r="H123" s="1"/>
  <c r="H124" s="1"/>
  <c r="AA34" i="1"/>
  <c r="B35"/>
  <c r="AA35" s="1"/>
  <c r="D92" i="13"/>
  <c r="A92" s="1"/>
  <c r="A91"/>
  <c r="N55" i="17"/>
  <c r="Q55"/>
  <c r="J73" i="15"/>
  <c r="J74"/>
  <c r="I99"/>
  <c r="I118" s="1"/>
  <c r="J82"/>
  <c r="J70" s="1"/>
  <c r="J98"/>
  <c r="J117" s="1"/>
  <c r="H125"/>
  <c r="H126" s="1"/>
  <c r="H127" s="1"/>
  <c r="H128" s="1"/>
  <c r="H129" s="1"/>
  <c r="H130" s="1"/>
  <c r="H131" s="1"/>
  <c r="H70"/>
  <c r="H83"/>
  <c r="J90"/>
  <c r="J109" s="1"/>
  <c r="K81"/>
  <c r="K85" s="1"/>
  <c r="K100" s="1"/>
  <c r="K119" s="1"/>
  <c r="K72"/>
  <c r="K66" s="1"/>
  <c r="I106"/>
  <c r="I143" s="1"/>
  <c r="J94"/>
  <c r="J113" s="1"/>
  <c r="J97"/>
  <c r="J116" s="1"/>
  <c r="J96"/>
  <c r="J115" s="1"/>
  <c r="J92"/>
  <c r="J111" s="1"/>
  <c r="J99"/>
  <c r="J118" s="1"/>
  <c r="J95"/>
  <c r="J114" s="1"/>
  <c r="J91"/>
  <c r="J110" s="1"/>
  <c r="L103"/>
  <c r="L108"/>
  <c r="M105"/>
  <c r="M107"/>
  <c r="M84"/>
  <c r="M88" s="1"/>
  <c r="AV21"/>
  <c r="AW20"/>
  <c r="AW15"/>
  <c r="M80"/>
  <c r="L80"/>
  <c r="B78" i="1"/>
  <c r="C78" s="1"/>
  <c r="AA78"/>
  <c r="AF78" s="1"/>
  <c r="B47" i="10"/>
  <c r="E46"/>
  <c r="G43"/>
  <c r="A45"/>
  <c r="D44"/>
  <c r="L44" s="1"/>
  <c r="J79" i="1"/>
  <c r="J78"/>
  <c r="L79"/>
  <c r="AX13"/>
  <c r="CF26"/>
  <c r="CE27"/>
  <c r="AQ57"/>
  <c r="AQ60" s="1"/>
  <c r="CF41"/>
  <c r="CE42"/>
  <c r="AW13"/>
  <c r="CF12"/>
  <c r="CE13"/>
  <c r="AW57"/>
  <c r="AW60" s="1"/>
  <c r="AW63"/>
  <c r="AW65" s="1"/>
  <c r="AW58" s="1"/>
  <c r="AR62"/>
  <c r="AR63" s="1"/>
  <c r="AR65" s="1"/>
  <c r="AS57"/>
  <c r="AS60" s="1"/>
  <c r="AS63"/>
  <c r="AS65" s="1"/>
  <c r="AS58" s="1"/>
  <c r="AQ63"/>
  <c r="AQ65" s="1"/>
  <c r="AV63"/>
  <c r="AV65" s="1"/>
  <c r="AV58" s="1"/>
  <c r="AU63"/>
  <c r="AU65" s="1"/>
  <c r="AU58" s="1"/>
  <c r="AV57"/>
  <c r="AV60" s="1"/>
  <c r="AV66" s="1"/>
  <c r="AV67" s="1"/>
  <c r="AU57"/>
  <c r="AU60" s="1"/>
  <c r="AU66" s="1"/>
  <c r="AU67" s="1"/>
  <c r="AT57"/>
  <c r="AT60" s="1"/>
  <c r="AT63"/>
  <c r="AT65" s="1"/>
  <c r="AT58" s="1"/>
  <c r="BD63"/>
  <c r="BE63" s="1"/>
  <c r="BG63"/>
  <c r="L17"/>
  <c r="K17"/>
  <c r="N17"/>
  <c r="M17"/>
  <c r="F100"/>
  <c r="F120" s="1"/>
  <c r="F140" s="1"/>
  <c r="F160" s="1"/>
  <c r="F180" s="1"/>
  <c r="F200" s="1"/>
  <c r="F220" s="1"/>
  <c r="F240" s="1"/>
  <c r="F260" s="1"/>
  <c r="F280" s="1"/>
  <c r="F300" s="1"/>
  <c r="F320" s="1"/>
  <c r="F340" s="1"/>
  <c r="F360" s="1"/>
  <c r="F380" s="1"/>
  <c r="F400" s="1"/>
  <c r="F420" s="1"/>
  <c r="F440" s="1"/>
  <c r="F460" s="1"/>
  <c r="F480" s="1"/>
  <c r="F500" s="1"/>
  <c r="F520" s="1"/>
  <c r="F540" s="1"/>
  <c r="F560" s="1"/>
  <c r="F580" s="1"/>
  <c r="F600" s="1"/>
  <c r="F620" s="1"/>
  <c r="F640" s="1"/>
  <c r="F660" s="1"/>
  <c r="F680" s="1"/>
  <c r="F700" s="1"/>
  <c r="F720" s="1"/>
  <c r="F740" s="1"/>
  <c r="F760" s="1"/>
  <c r="F780" s="1"/>
  <c r="F800" s="1"/>
  <c r="F820" s="1"/>
  <c r="F840" s="1"/>
  <c r="F860" s="1"/>
  <c r="F880" s="1"/>
  <c r="F900" s="1"/>
  <c r="F920" s="1"/>
  <c r="F940" s="1"/>
  <c r="F960" s="1"/>
  <c r="F980" s="1"/>
  <c r="F81" s="1"/>
  <c r="F109"/>
  <c r="F129" s="1"/>
  <c r="F149" s="1"/>
  <c r="F169" s="1"/>
  <c r="F189" s="1"/>
  <c r="F209" s="1"/>
  <c r="F229" s="1"/>
  <c r="F249" s="1"/>
  <c r="F269" s="1"/>
  <c r="F289" s="1"/>
  <c r="F309" s="1"/>
  <c r="F329" s="1"/>
  <c r="F349" s="1"/>
  <c r="F369" s="1"/>
  <c r="F389" s="1"/>
  <c r="F409" s="1"/>
  <c r="F429" s="1"/>
  <c r="F449" s="1"/>
  <c r="F469" s="1"/>
  <c r="F489" s="1"/>
  <c r="F509" s="1"/>
  <c r="F529" s="1"/>
  <c r="F549" s="1"/>
  <c r="F569" s="1"/>
  <c r="F589" s="1"/>
  <c r="F609" s="1"/>
  <c r="F629" s="1"/>
  <c r="F649" s="1"/>
  <c r="F669" s="1"/>
  <c r="F689" s="1"/>
  <c r="F709" s="1"/>
  <c r="F729" s="1"/>
  <c r="F749" s="1"/>
  <c r="F769" s="1"/>
  <c r="F789" s="1"/>
  <c r="F809" s="1"/>
  <c r="F829" s="1"/>
  <c r="F849" s="1"/>
  <c r="F869" s="1"/>
  <c r="F889" s="1"/>
  <c r="F909" s="1"/>
  <c r="F929" s="1"/>
  <c r="F949" s="1"/>
  <c r="F969" s="1"/>
  <c r="F989" s="1"/>
  <c r="F90" s="1"/>
  <c r="J101"/>
  <c r="J121" s="1"/>
  <c r="J141" s="1"/>
  <c r="J161" s="1"/>
  <c r="J181" s="1"/>
  <c r="J201" s="1"/>
  <c r="J221" s="1"/>
  <c r="J241" s="1"/>
  <c r="J261" s="1"/>
  <c r="J281" s="1"/>
  <c r="J301" s="1"/>
  <c r="J321" s="1"/>
  <c r="J341" s="1"/>
  <c r="J361" s="1"/>
  <c r="J381" s="1"/>
  <c r="J401" s="1"/>
  <c r="J421" s="1"/>
  <c r="J441" s="1"/>
  <c r="J461" s="1"/>
  <c r="J481" s="1"/>
  <c r="J501" s="1"/>
  <c r="J521" s="1"/>
  <c r="J541" s="1"/>
  <c r="J561" s="1"/>
  <c r="J581" s="1"/>
  <c r="J601" s="1"/>
  <c r="J621" s="1"/>
  <c r="J641" s="1"/>
  <c r="J661" s="1"/>
  <c r="J681" s="1"/>
  <c r="J701" s="1"/>
  <c r="J721" s="1"/>
  <c r="J741" s="1"/>
  <c r="J761" s="1"/>
  <c r="J781" s="1"/>
  <c r="J801" s="1"/>
  <c r="J821" s="1"/>
  <c r="J841" s="1"/>
  <c r="J861" s="1"/>
  <c r="J881" s="1"/>
  <c r="J901" s="1"/>
  <c r="J921" s="1"/>
  <c r="J941" s="1"/>
  <c r="J961" s="1"/>
  <c r="J981" s="1"/>
  <c r="J82" s="1"/>
  <c r="Q79"/>
  <c r="O91"/>
  <c r="S91"/>
  <c r="B100"/>
  <c r="B120" s="1"/>
  <c r="J100"/>
  <c r="J120" s="1"/>
  <c r="J140" s="1"/>
  <c r="J160" s="1"/>
  <c r="J180" s="1"/>
  <c r="J200" s="1"/>
  <c r="J220" s="1"/>
  <c r="J240" s="1"/>
  <c r="J260" s="1"/>
  <c r="J280" s="1"/>
  <c r="J300" s="1"/>
  <c r="J320" s="1"/>
  <c r="J340" s="1"/>
  <c r="J360" s="1"/>
  <c r="J380" s="1"/>
  <c r="J400" s="1"/>
  <c r="J420" s="1"/>
  <c r="J440" s="1"/>
  <c r="J460" s="1"/>
  <c r="J480" s="1"/>
  <c r="J500" s="1"/>
  <c r="J520" s="1"/>
  <c r="J540" s="1"/>
  <c r="J560" s="1"/>
  <c r="J580" s="1"/>
  <c r="J600" s="1"/>
  <c r="J620" s="1"/>
  <c r="J640" s="1"/>
  <c r="J660" s="1"/>
  <c r="J680" s="1"/>
  <c r="J700" s="1"/>
  <c r="J720" s="1"/>
  <c r="J740" s="1"/>
  <c r="J760" s="1"/>
  <c r="J780" s="1"/>
  <c r="J800" s="1"/>
  <c r="J820" s="1"/>
  <c r="J840" s="1"/>
  <c r="J860" s="1"/>
  <c r="J880" s="1"/>
  <c r="J900" s="1"/>
  <c r="J920" s="1"/>
  <c r="J940" s="1"/>
  <c r="J960" s="1"/>
  <c r="J980" s="1"/>
  <c r="J81" s="1"/>
  <c r="L100"/>
  <c r="AA100"/>
  <c r="B101"/>
  <c r="L101"/>
  <c r="B102"/>
  <c r="L102"/>
  <c r="L103"/>
  <c r="L104"/>
  <c r="L105"/>
  <c r="L106"/>
  <c r="L107"/>
  <c r="L108"/>
  <c r="L109"/>
  <c r="R110"/>
  <c r="Q109" s="1"/>
  <c r="Y111"/>
  <c r="Y131" s="1"/>
  <c r="Y151" s="1"/>
  <c r="Y171" s="1"/>
  <c r="Y191" s="1"/>
  <c r="Y211" s="1"/>
  <c r="Y231" s="1"/>
  <c r="Y251" s="1"/>
  <c r="Y271" s="1"/>
  <c r="Y291" s="1"/>
  <c r="Y311" s="1"/>
  <c r="Y331" s="1"/>
  <c r="Y351" s="1"/>
  <c r="Y371" s="1"/>
  <c r="Y391" s="1"/>
  <c r="Y411" s="1"/>
  <c r="Y431" s="1"/>
  <c r="Y451" s="1"/>
  <c r="Y471" s="1"/>
  <c r="Y491" s="1"/>
  <c r="Y511" s="1"/>
  <c r="Y531" s="1"/>
  <c r="Y551" s="1"/>
  <c r="Y571" s="1"/>
  <c r="Y591" s="1"/>
  <c r="Y611" s="1"/>
  <c r="Y631" s="1"/>
  <c r="Y651" s="1"/>
  <c r="Y671" s="1"/>
  <c r="Y691" s="1"/>
  <c r="Y711" s="1"/>
  <c r="Y731" s="1"/>
  <c r="Y751" s="1"/>
  <c r="Y771" s="1"/>
  <c r="Y791" s="1"/>
  <c r="Y811" s="1"/>
  <c r="Y831" s="1"/>
  <c r="Y851" s="1"/>
  <c r="Y871" s="1"/>
  <c r="Y891" s="1"/>
  <c r="Y911" s="1"/>
  <c r="Y931" s="1"/>
  <c r="Y951" s="1"/>
  <c r="Y971" s="1"/>
  <c r="Y991" s="1"/>
  <c r="N112"/>
  <c r="N132" s="1"/>
  <c r="N152" s="1"/>
  <c r="N172" s="1"/>
  <c r="N192" s="1"/>
  <c r="N212" s="1"/>
  <c r="N232" s="1"/>
  <c r="N252" s="1"/>
  <c r="N272" s="1"/>
  <c r="N292" s="1"/>
  <c r="N312" s="1"/>
  <c r="N332" s="1"/>
  <c r="N352" s="1"/>
  <c r="N372" s="1"/>
  <c r="N392" s="1"/>
  <c r="N412" s="1"/>
  <c r="N432" s="1"/>
  <c r="N452" s="1"/>
  <c r="N472" s="1"/>
  <c r="N492" s="1"/>
  <c r="N512" s="1"/>
  <c r="N532" s="1"/>
  <c r="N552" s="1"/>
  <c r="N572" s="1"/>
  <c r="N592" s="1"/>
  <c r="N612" s="1"/>
  <c r="N632" s="1"/>
  <c r="N652" s="1"/>
  <c r="N672" s="1"/>
  <c r="N692" s="1"/>
  <c r="N712" s="1"/>
  <c r="N732" s="1"/>
  <c r="N752" s="1"/>
  <c r="N772" s="1"/>
  <c r="N792" s="1"/>
  <c r="N812" s="1"/>
  <c r="N832" s="1"/>
  <c r="N852" s="1"/>
  <c r="N872" s="1"/>
  <c r="N892" s="1"/>
  <c r="N912" s="1"/>
  <c r="N932" s="1"/>
  <c r="N952" s="1"/>
  <c r="N972" s="1"/>
  <c r="N992" s="1"/>
  <c r="B122"/>
  <c r="B142" s="1"/>
  <c r="B162" s="1"/>
  <c r="B182" s="1"/>
  <c r="B202" s="1"/>
  <c r="B222" s="1"/>
  <c r="B242" s="1"/>
  <c r="B262" s="1"/>
  <c r="B282" s="1"/>
  <c r="B302" s="1"/>
  <c r="B322" s="1"/>
  <c r="B342" s="1"/>
  <c r="B362" s="1"/>
  <c r="B382" s="1"/>
  <c r="B402" s="1"/>
  <c r="B422" s="1"/>
  <c r="B442" s="1"/>
  <c r="B462" s="1"/>
  <c r="B482" s="1"/>
  <c r="B502" s="1"/>
  <c r="B522" s="1"/>
  <c r="B542" s="1"/>
  <c r="B562" s="1"/>
  <c r="B582" s="1"/>
  <c r="B602" s="1"/>
  <c r="B622" s="1"/>
  <c r="B642" s="1"/>
  <c r="B662" s="1"/>
  <c r="B682" s="1"/>
  <c r="B702" s="1"/>
  <c r="B722" s="1"/>
  <c r="B742" s="1"/>
  <c r="B762" s="1"/>
  <c r="B782" s="1"/>
  <c r="B802" s="1"/>
  <c r="B822" s="1"/>
  <c r="B842" s="1"/>
  <c r="B862" s="1"/>
  <c r="B882" s="1"/>
  <c r="B902" s="1"/>
  <c r="B922" s="1"/>
  <c r="B942" s="1"/>
  <c r="B962" s="1"/>
  <c r="B982" s="1"/>
  <c r="B83" s="1"/>
  <c r="I53" i="6" l="1"/>
  <c r="D53"/>
  <c r="E53" s="1"/>
  <c r="F53" s="1"/>
  <c r="G53" s="1"/>
  <c r="K114" i="10"/>
  <c r="H52" i="6"/>
  <c r="O52"/>
  <c r="C116" i="10"/>
  <c r="J115"/>
  <c r="H115"/>
  <c r="J83" i="15"/>
  <c r="J71" s="1"/>
  <c r="BB74"/>
  <c r="BB78" s="1"/>
  <c r="H60"/>
  <c r="I60" s="1"/>
  <c r="I142"/>
  <c r="I125"/>
  <c r="I126" s="1"/>
  <c r="I127" s="1"/>
  <c r="I128" s="1"/>
  <c r="I129" s="1"/>
  <c r="I130" s="1"/>
  <c r="I131" s="1"/>
  <c r="I121"/>
  <c r="I122" s="1"/>
  <c r="I123" s="1"/>
  <c r="I124" s="1"/>
  <c r="AV104" i="1"/>
  <c r="AV100"/>
  <c r="AV96"/>
  <c r="AV92"/>
  <c r="AV88"/>
  <c r="AV84"/>
  <c r="AV80"/>
  <c r="AV76"/>
  <c r="AV72"/>
  <c r="AV101"/>
  <c r="AV97"/>
  <c r="AV93"/>
  <c r="AV89"/>
  <c r="AV85"/>
  <c r="AV81"/>
  <c r="AV77"/>
  <c r="AV73"/>
  <c r="AV102"/>
  <c r="AV98"/>
  <c r="AV94"/>
  <c r="AV90"/>
  <c r="AV86"/>
  <c r="AV82"/>
  <c r="AV78"/>
  <c r="AV74"/>
  <c r="AV103"/>
  <c r="AV99"/>
  <c r="AV95"/>
  <c r="AV91"/>
  <c r="AV87"/>
  <c r="AV83"/>
  <c r="AV79"/>
  <c r="AV75"/>
  <c r="AV71"/>
  <c r="AU103"/>
  <c r="AU99"/>
  <c r="AU95"/>
  <c r="AU91"/>
  <c r="AU87"/>
  <c r="AU83"/>
  <c r="AU79"/>
  <c r="AU75"/>
  <c r="AU71"/>
  <c r="AU102"/>
  <c r="AU98"/>
  <c r="AU94"/>
  <c r="AU90"/>
  <c r="AU86"/>
  <c r="AU82"/>
  <c r="AU78"/>
  <c r="AU74"/>
  <c r="AU101"/>
  <c r="AU97"/>
  <c r="AU93"/>
  <c r="AU89"/>
  <c r="AU85"/>
  <c r="AU81"/>
  <c r="AU77"/>
  <c r="AU73"/>
  <c r="AU104"/>
  <c r="AU100"/>
  <c r="AU96"/>
  <c r="AU92"/>
  <c r="AU88"/>
  <c r="AU84"/>
  <c r="AU80"/>
  <c r="AU76"/>
  <c r="AU72"/>
  <c r="AQ66"/>
  <c r="AQ67" s="1"/>
  <c r="AQ58"/>
  <c r="AR66"/>
  <c r="AR67" s="1"/>
  <c r="AR58"/>
  <c r="P55" i="17"/>
  <c r="N56" s="1"/>
  <c r="K73" i="15"/>
  <c r="K74"/>
  <c r="J121"/>
  <c r="J122" s="1"/>
  <c r="J123" s="1"/>
  <c r="J124" s="1"/>
  <c r="I134"/>
  <c r="K94"/>
  <c r="K113" s="1"/>
  <c r="I138"/>
  <c r="I136"/>
  <c r="I140"/>
  <c r="K91"/>
  <c r="K110" s="1"/>
  <c r="H106"/>
  <c r="H59"/>
  <c r="I59" s="1"/>
  <c r="H71"/>
  <c r="BA74"/>
  <c r="K98"/>
  <c r="K117" s="1"/>
  <c r="K90"/>
  <c r="K109" s="1"/>
  <c r="K82"/>
  <c r="K70" s="1"/>
  <c r="K96"/>
  <c r="K115" s="1"/>
  <c r="K92"/>
  <c r="K111" s="1"/>
  <c r="K97"/>
  <c r="K116" s="1"/>
  <c r="I133"/>
  <c r="I135"/>
  <c r="I137"/>
  <c r="I139"/>
  <c r="I141"/>
  <c r="K99"/>
  <c r="K118" s="1"/>
  <c r="K95"/>
  <c r="K114" s="1"/>
  <c r="K93"/>
  <c r="K112" s="1"/>
  <c r="M81"/>
  <c r="M72"/>
  <c r="M66" s="1"/>
  <c r="L81"/>
  <c r="L72"/>
  <c r="L66" s="1"/>
  <c r="J106"/>
  <c r="J142" s="1"/>
  <c r="J125"/>
  <c r="J126" s="1"/>
  <c r="J127" s="1"/>
  <c r="J128" s="1"/>
  <c r="J129" s="1"/>
  <c r="J130" s="1"/>
  <c r="J131" s="1"/>
  <c r="M103"/>
  <c r="M108"/>
  <c r="BB79"/>
  <c r="AV22"/>
  <c r="AW21"/>
  <c r="AW14"/>
  <c r="B79" i="1"/>
  <c r="C79" s="1"/>
  <c r="AA79"/>
  <c r="AF79" s="1"/>
  <c r="B48" i="10"/>
  <c r="E47"/>
  <c r="G44"/>
  <c r="A46"/>
  <c r="D45"/>
  <c r="L45" s="1"/>
  <c r="L128" i="1"/>
  <c r="L148" s="1"/>
  <c r="L168" s="1"/>
  <c r="L188" s="1"/>
  <c r="L208" s="1"/>
  <c r="L228" s="1"/>
  <c r="L248" s="1"/>
  <c r="L268" s="1"/>
  <c r="L288" s="1"/>
  <c r="L308" s="1"/>
  <c r="L328" s="1"/>
  <c r="L348" s="1"/>
  <c r="L368" s="1"/>
  <c r="L388" s="1"/>
  <c r="L408" s="1"/>
  <c r="L428" s="1"/>
  <c r="L448" s="1"/>
  <c r="L468" s="1"/>
  <c r="L488" s="1"/>
  <c r="L508" s="1"/>
  <c r="L528" s="1"/>
  <c r="L548" s="1"/>
  <c r="L568" s="1"/>
  <c r="L588" s="1"/>
  <c r="L608" s="1"/>
  <c r="L628" s="1"/>
  <c r="L648" s="1"/>
  <c r="L668" s="1"/>
  <c r="L688" s="1"/>
  <c r="L708" s="1"/>
  <c r="L728" s="1"/>
  <c r="L748" s="1"/>
  <c r="L768" s="1"/>
  <c r="L788" s="1"/>
  <c r="L808" s="1"/>
  <c r="L828" s="1"/>
  <c r="L848" s="1"/>
  <c r="L868" s="1"/>
  <c r="L888" s="1"/>
  <c r="L908" s="1"/>
  <c r="L928" s="1"/>
  <c r="L948" s="1"/>
  <c r="L968" s="1"/>
  <c r="L988" s="1"/>
  <c r="L89" s="1"/>
  <c r="L126"/>
  <c r="L146" s="1"/>
  <c r="L166" s="1"/>
  <c r="L186" s="1"/>
  <c r="L206" s="1"/>
  <c r="L226" s="1"/>
  <c r="L246" s="1"/>
  <c r="L266" s="1"/>
  <c r="L286" s="1"/>
  <c r="L306" s="1"/>
  <c r="L326" s="1"/>
  <c r="L346" s="1"/>
  <c r="L366" s="1"/>
  <c r="L386" s="1"/>
  <c r="L406" s="1"/>
  <c r="L426" s="1"/>
  <c r="L446" s="1"/>
  <c r="L466" s="1"/>
  <c r="L486" s="1"/>
  <c r="L506" s="1"/>
  <c r="L526" s="1"/>
  <c r="L546" s="1"/>
  <c r="L566" s="1"/>
  <c r="L586" s="1"/>
  <c r="L606" s="1"/>
  <c r="L626" s="1"/>
  <c r="L646" s="1"/>
  <c r="L666" s="1"/>
  <c r="L686" s="1"/>
  <c r="L706" s="1"/>
  <c r="L726" s="1"/>
  <c r="L746" s="1"/>
  <c r="L766" s="1"/>
  <c r="L786" s="1"/>
  <c r="L806" s="1"/>
  <c r="L826" s="1"/>
  <c r="L846" s="1"/>
  <c r="L866" s="1"/>
  <c r="L886" s="1"/>
  <c r="L906" s="1"/>
  <c r="L926" s="1"/>
  <c r="L946" s="1"/>
  <c r="L966" s="1"/>
  <c r="L986" s="1"/>
  <c r="L87" s="1"/>
  <c r="L124"/>
  <c r="L144" s="1"/>
  <c r="L164" s="1"/>
  <c r="L184" s="1"/>
  <c r="L204" s="1"/>
  <c r="L224" s="1"/>
  <c r="L244" s="1"/>
  <c r="L264" s="1"/>
  <c r="L284" s="1"/>
  <c r="L304" s="1"/>
  <c r="L324" s="1"/>
  <c r="L344" s="1"/>
  <c r="L364" s="1"/>
  <c r="L384" s="1"/>
  <c r="L404" s="1"/>
  <c r="L424" s="1"/>
  <c r="L444" s="1"/>
  <c r="L464" s="1"/>
  <c r="L484" s="1"/>
  <c r="L504" s="1"/>
  <c r="L524" s="1"/>
  <c r="L544" s="1"/>
  <c r="L564" s="1"/>
  <c r="L584" s="1"/>
  <c r="L604" s="1"/>
  <c r="L624" s="1"/>
  <c r="L644" s="1"/>
  <c r="L664" s="1"/>
  <c r="L684" s="1"/>
  <c r="L704" s="1"/>
  <c r="L724" s="1"/>
  <c r="L744" s="1"/>
  <c r="L764" s="1"/>
  <c r="L784" s="1"/>
  <c r="L804" s="1"/>
  <c r="L824" s="1"/>
  <c r="L844" s="1"/>
  <c r="L864" s="1"/>
  <c r="L884" s="1"/>
  <c r="L904" s="1"/>
  <c r="L924" s="1"/>
  <c r="L944" s="1"/>
  <c r="L964" s="1"/>
  <c r="L984" s="1"/>
  <c r="L85" s="1"/>
  <c r="L122"/>
  <c r="L142" s="1"/>
  <c r="L162" s="1"/>
  <c r="L182" s="1"/>
  <c r="L202" s="1"/>
  <c r="L222" s="1"/>
  <c r="L242" s="1"/>
  <c r="L262" s="1"/>
  <c r="L282" s="1"/>
  <c r="L302" s="1"/>
  <c r="L322" s="1"/>
  <c r="L342" s="1"/>
  <c r="L362" s="1"/>
  <c r="L382" s="1"/>
  <c r="L402" s="1"/>
  <c r="L422" s="1"/>
  <c r="L442" s="1"/>
  <c r="L462" s="1"/>
  <c r="L482" s="1"/>
  <c r="L502" s="1"/>
  <c r="L522" s="1"/>
  <c r="L542" s="1"/>
  <c r="L562" s="1"/>
  <c r="L582" s="1"/>
  <c r="L602" s="1"/>
  <c r="L622" s="1"/>
  <c r="L642" s="1"/>
  <c r="L662" s="1"/>
  <c r="L682" s="1"/>
  <c r="L702" s="1"/>
  <c r="L722" s="1"/>
  <c r="L742" s="1"/>
  <c r="L762" s="1"/>
  <c r="L782" s="1"/>
  <c r="L802" s="1"/>
  <c r="L822" s="1"/>
  <c r="L842" s="1"/>
  <c r="L862" s="1"/>
  <c r="L882" s="1"/>
  <c r="L902" s="1"/>
  <c r="L922" s="1"/>
  <c r="L942" s="1"/>
  <c r="L962" s="1"/>
  <c r="L982" s="1"/>
  <c r="L83" s="1"/>
  <c r="L121"/>
  <c r="L141" s="1"/>
  <c r="L161" s="1"/>
  <c r="L181" s="1"/>
  <c r="L201" s="1"/>
  <c r="L221" s="1"/>
  <c r="L241" s="1"/>
  <c r="L261" s="1"/>
  <c r="L281" s="1"/>
  <c r="L301" s="1"/>
  <c r="L321" s="1"/>
  <c r="L341" s="1"/>
  <c r="L361" s="1"/>
  <c r="L381" s="1"/>
  <c r="L401" s="1"/>
  <c r="L421" s="1"/>
  <c r="L441" s="1"/>
  <c r="L461" s="1"/>
  <c r="L481" s="1"/>
  <c r="L501" s="1"/>
  <c r="L521" s="1"/>
  <c r="L541" s="1"/>
  <c r="L561" s="1"/>
  <c r="L581" s="1"/>
  <c r="L601" s="1"/>
  <c r="L621" s="1"/>
  <c r="L641" s="1"/>
  <c r="L661" s="1"/>
  <c r="L681" s="1"/>
  <c r="L701" s="1"/>
  <c r="L721" s="1"/>
  <c r="L741" s="1"/>
  <c r="L761" s="1"/>
  <c r="L781" s="1"/>
  <c r="L801" s="1"/>
  <c r="L821" s="1"/>
  <c r="L841" s="1"/>
  <c r="L861" s="1"/>
  <c r="L881" s="1"/>
  <c r="L901" s="1"/>
  <c r="L921" s="1"/>
  <c r="L941" s="1"/>
  <c r="L961" s="1"/>
  <c r="L981" s="1"/>
  <c r="L82" s="1"/>
  <c r="L129"/>
  <c r="L149" s="1"/>
  <c r="L169" s="1"/>
  <c r="L189" s="1"/>
  <c r="L209" s="1"/>
  <c r="L229" s="1"/>
  <c r="L249" s="1"/>
  <c r="L269" s="1"/>
  <c r="L289" s="1"/>
  <c r="L309" s="1"/>
  <c r="L329" s="1"/>
  <c r="L349" s="1"/>
  <c r="L369" s="1"/>
  <c r="L389" s="1"/>
  <c r="L409" s="1"/>
  <c r="L429" s="1"/>
  <c r="L449" s="1"/>
  <c r="L469" s="1"/>
  <c r="L489" s="1"/>
  <c r="L509" s="1"/>
  <c r="L529" s="1"/>
  <c r="L549" s="1"/>
  <c r="L569" s="1"/>
  <c r="L589" s="1"/>
  <c r="L609" s="1"/>
  <c r="L629" s="1"/>
  <c r="L649" s="1"/>
  <c r="L669" s="1"/>
  <c r="L689" s="1"/>
  <c r="L709" s="1"/>
  <c r="L729" s="1"/>
  <c r="L749" s="1"/>
  <c r="L769" s="1"/>
  <c r="L789" s="1"/>
  <c r="L809" s="1"/>
  <c r="L829" s="1"/>
  <c r="L849" s="1"/>
  <c r="L869" s="1"/>
  <c r="L889" s="1"/>
  <c r="L909" s="1"/>
  <c r="L929" s="1"/>
  <c r="L949" s="1"/>
  <c r="L969" s="1"/>
  <c r="L989" s="1"/>
  <c r="L90" s="1"/>
  <c r="L127"/>
  <c r="L147" s="1"/>
  <c r="L167" s="1"/>
  <c r="L187" s="1"/>
  <c r="L207" s="1"/>
  <c r="L227" s="1"/>
  <c r="L247" s="1"/>
  <c r="L267" s="1"/>
  <c r="L287" s="1"/>
  <c r="L307" s="1"/>
  <c r="L327" s="1"/>
  <c r="L347" s="1"/>
  <c r="L367" s="1"/>
  <c r="L387" s="1"/>
  <c r="L407" s="1"/>
  <c r="L427" s="1"/>
  <c r="L447" s="1"/>
  <c r="L467" s="1"/>
  <c r="L487" s="1"/>
  <c r="L507" s="1"/>
  <c r="L527" s="1"/>
  <c r="L547" s="1"/>
  <c r="L567" s="1"/>
  <c r="L587" s="1"/>
  <c r="L607" s="1"/>
  <c r="L627" s="1"/>
  <c r="L647" s="1"/>
  <c r="L667" s="1"/>
  <c r="L687" s="1"/>
  <c r="L707" s="1"/>
  <c r="L727" s="1"/>
  <c r="L747" s="1"/>
  <c r="L767" s="1"/>
  <c r="L787" s="1"/>
  <c r="L807" s="1"/>
  <c r="L827" s="1"/>
  <c r="L847" s="1"/>
  <c r="L867" s="1"/>
  <c r="L887" s="1"/>
  <c r="L907" s="1"/>
  <c r="L927" s="1"/>
  <c r="L947" s="1"/>
  <c r="L967" s="1"/>
  <c r="L987" s="1"/>
  <c r="L88" s="1"/>
  <c r="L125"/>
  <c r="L145" s="1"/>
  <c r="L165" s="1"/>
  <c r="L185" s="1"/>
  <c r="L205" s="1"/>
  <c r="L225" s="1"/>
  <c r="L245" s="1"/>
  <c r="L265" s="1"/>
  <c r="L285" s="1"/>
  <c r="L305" s="1"/>
  <c r="L325" s="1"/>
  <c r="L345" s="1"/>
  <c r="L365" s="1"/>
  <c r="L385" s="1"/>
  <c r="L405" s="1"/>
  <c r="L425" s="1"/>
  <c r="L445" s="1"/>
  <c r="L465" s="1"/>
  <c r="L485" s="1"/>
  <c r="L505" s="1"/>
  <c r="L525" s="1"/>
  <c r="L545" s="1"/>
  <c r="L565" s="1"/>
  <c r="L585" s="1"/>
  <c r="L605" s="1"/>
  <c r="L625" s="1"/>
  <c r="L645" s="1"/>
  <c r="L665" s="1"/>
  <c r="L685" s="1"/>
  <c r="L705" s="1"/>
  <c r="L725" s="1"/>
  <c r="L745" s="1"/>
  <c r="L765" s="1"/>
  <c r="L785" s="1"/>
  <c r="L805" s="1"/>
  <c r="L825" s="1"/>
  <c r="L845" s="1"/>
  <c r="L865" s="1"/>
  <c r="L885" s="1"/>
  <c r="L905" s="1"/>
  <c r="L925" s="1"/>
  <c r="L945" s="1"/>
  <c r="L965" s="1"/>
  <c r="L985" s="1"/>
  <c r="L86" s="1"/>
  <c r="L123"/>
  <c r="L143" s="1"/>
  <c r="L163" s="1"/>
  <c r="L183" s="1"/>
  <c r="L203" s="1"/>
  <c r="L223" s="1"/>
  <c r="L243" s="1"/>
  <c r="L263" s="1"/>
  <c r="L283" s="1"/>
  <c r="L303" s="1"/>
  <c r="L323" s="1"/>
  <c r="L343" s="1"/>
  <c r="L363" s="1"/>
  <c r="L383" s="1"/>
  <c r="L403" s="1"/>
  <c r="L423" s="1"/>
  <c r="L443" s="1"/>
  <c r="L463" s="1"/>
  <c r="L483" s="1"/>
  <c r="L503" s="1"/>
  <c r="L523" s="1"/>
  <c r="L543" s="1"/>
  <c r="L563" s="1"/>
  <c r="L583" s="1"/>
  <c r="L603" s="1"/>
  <c r="L623" s="1"/>
  <c r="L643" s="1"/>
  <c r="L663" s="1"/>
  <c r="L683" s="1"/>
  <c r="L703" s="1"/>
  <c r="L723" s="1"/>
  <c r="L743" s="1"/>
  <c r="L763" s="1"/>
  <c r="L783" s="1"/>
  <c r="L803" s="1"/>
  <c r="L823" s="1"/>
  <c r="L843" s="1"/>
  <c r="L863" s="1"/>
  <c r="L883" s="1"/>
  <c r="L903" s="1"/>
  <c r="L923" s="1"/>
  <c r="L943" s="1"/>
  <c r="L963" s="1"/>
  <c r="L983" s="1"/>
  <c r="L84" s="1"/>
  <c r="L120"/>
  <c r="L140" s="1"/>
  <c r="L160" s="1"/>
  <c r="L180" s="1"/>
  <c r="L200" s="1"/>
  <c r="L220" s="1"/>
  <c r="L240" s="1"/>
  <c r="L260" s="1"/>
  <c r="L280" s="1"/>
  <c r="L300" s="1"/>
  <c r="L320" s="1"/>
  <c r="L340" s="1"/>
  <c r="L360" s="1"/>
  <c r="L380" s="1"/>
  <c r="L400" s="1"/>
  <c r="L420" s="1"/>
  <c r="L440" s="1"/>
  <c r="L460" s="1"/>
  <c r="L480" s="1"/>
  <c r="L500" s="1"/>
  <c r="L520" s="1"/>
  <c r="L540" s="1"/>
  <c r="L560" s="1"/>
  <c r="L580" s="1"/>
  <c r="L600" s="1"/>
  <c r="L620" s="1"/>
  <c r="L640" s="1"/>
  <c r="L660" s="1"/>
  <c r="L680" s="1"/>
  <c r="L700" s="1"/>
  <c r="L720" s="1"/>
  <c r="L740" s="1"/>
  <c r="L760" s="1"/>
  <c r="L780" s="1"/>
  <c r="L800" s="1"/>
  <c r="L820" s="1"/>
  <c r="L840" s="1"/>
  <c r="L860" s="1"/>
  <c r="L880" s="1"/>
  <c r="L900" s="1"/>
  <c r="L920" s="1"/>
  <c r="L940" s="1"/>
  <c r="L960" s="1"/>
  <c r="L980" s="1"/>
  <c r="L81" s="1"/>
  <c r="CF27"/>
  <c r="CE28"/>
  <c r="AW66"/>
  <c r="AW67" s="1"/>
  <c r="CF42"/>
  <c r="CE43"/>
  <c r="CF43" s="1"/>
  <c r="AA102"/>
  <c r="AA122" s="1"/>
  <c r="AA142" s="1"/>
  <c r="AA162" s="1"/>
  <c r="AA182" s="1"/>
  <c r="AA202" s="1"/>
  <c r="AA222" s="1"/>
  <c r="AA242" s="1"/>
  <c r="AA262" s="1"/>
  <c r="AA282" s="1"/>
  <c r="AA302" s="1"/>
  <c r="AA322" s="1"/>
  <c r="AA342" s="1"/>
  <c r="AA362" s="1"/>
  <c r="AA382" s="1"/>
  <c r="AA402" s="1"/>
  <c r="AA422" s="1"/>
  <c r="AA442" s="1"/>
  <c r="AA462" s="1"/>
  <c r="AA482" s="1"/>
  <c r="AA502" s="1"/>
  <c r="AA522" s="1"/>
  <c r="AA542" s="1"/>
  <c r="AA562" s="1"/>
  <c r="AA582" s="1"/>
  <c r="AA602" s="1"/>
  <c r="AA622" s="1"/>
  <c r="AA642" s="1"/>
  <c r="AA662" s="1"/>
  <c r="AA682" s="1"/>
  <c r="AA702" s="1"/>
  <c r="AA722" s="1"/>
  <c r="AA742" s="1"/>
  <c r="AA762" s="1"/>
  <c r="AA782" s="1"/>
  <c r="AA802" s="1"/>
  <c r="AA822" s="1"/>
  <c r="AA842" s="1"/>
  <c r="AA862" s="1"/>
  <c r="AA882" s="1"/>
  <c r="AA902" s="1"/>
  <c r="AA922" s="1"/>
  <c r="AA942" s="1"/>
  <c r="AA962" s="1"/>
  <c r="AA982" s="1"/>
  <c r="CF13"/>
  <c r="CE14"/>
  <c r="CF14" s="1"/>
  <c r="AS66"/>
  <c r="AS67" s="1"/>
  <c r="AT66"/>
  <c r="AT67" s="1"/>
  <c r="C119"/>
  <c r="C139" s="1"/>
  <c r="C159" s="1"/>
  <c r="C179" s="1"/>
  <c r="C199" s="1"/>
  <c r="C219" s="1"/>
  <c r="C239" s="1"/>
  <c r="C259" s="1"/>
  <c r="C279" s="1"/>
  <c r="C299" s="1"/>
  <c r="C319" s="1"/>
  <c r="C339" s="1"/>
  <c r="C359" s="1"/>
  <c r="C379" s="1"/>
  <c r="C399" s="1"/>
  <c r="C419" s="1"/>
  <c r="C439" s="1"/>
  <c r="C459" s="1"/>
  <c r="C479" s="1"/>
  <c r="C499" s="1"/>
  <c r="C519" s="1"/>
  <c r="C539" s="1"/>
  <c r="C559" s="1"/>
  <c r="C579" s="1"/>
  <c r="C599" s="1"/>
  <c r="C619" s="1"/>
  <c r="C639" s="1"/>
  <c r="C659" s="1"/>
  <c r="C679" s="1"/>
  <c r="C699" s="1"/>
  <c r="C719" s="1"/>
  <c r="C739" s="1"/>
  <c r="C759" s="1"/>
  <c r="C779" s="1"/>
  <c r="C799" s="1"/>
  <c r="C819" s="1"/>
  <c r="C839" s="1"/>
  <c r="C859" s="1"/>
  <c r="C879" s="1"/>
  <c r="C899" s="1"/>
  <c r="C919" s="1"/>
  <c r="C939" s="1"/>
  <c r="C959" s="1"/>
  <c r="C979" s="1"/>
  <c r="C999" s="1"/>
  <c r="AA101"/>
  <c r="AA121" s="1"/>
  <c r="AA141" s="1"/>
  <c r="AA161" s="1"/>
  <c r="AA181" s="1"/>
  <c r="AA201" s="1"/>
  <c r="AA221" s="1"/>
  <c r="AA241" s="1"/>
  <c r="AA261" s="1"/>
  <c r="AA281" s="1"/>
  <c r="AA301" s="1"/>
  <c r="AA321" s="1"/>
  <c r="AA341" s="1"/>
  <c r="AA361" s="1"/>
  <c r="AA381" s="1"/>
  <c r="AA401" s="1"/>
  <c r="AA421" s="1"/>
  <c r="AA441" s="1"/>
  <c r="AA461" s="1"/>
  <c r="AA481" s="1"/>
  <c r="AA501" s="1"/>
  <c r="AA521" s="1"/>
  <c r="AA541" s="1"/>
  <c r="AA561" s="1"/>
  <c r="AA581" s="1"/>
  <c r="AA601" s="1"/>
  <c r="AA621" s="1"/>
  <c r="AA641" s="1"/>
  <c r="AA661" s="1"/>
  <c r="AA681" s="1"/>
  <c r="AA701" s="1"/>
  <c r="AA721" s="1"/>
  <c r="AA741" s="1"/>
  <c r="AA761" s="1"/>
  <c r="AA781" s="1"/>
  <c r="AA801" s="1"/>
  <c r="AA821" s="1"/>
  <c r="AA841" s="1"/>
  <c r="AA861" s="1"/>
  <c r="AA881" s="1"/>
  <c r="AA901" s="1"/>
  <c r="AA921" s="1"/>
  <c r="AA941" s="1"/>
  <c r="AA961" s="1"/>
  <c r="AA981" s="1"/>
  <c r="J102"/>
  <c r="J122" s="1"/>
  <c r="J142" s="1"/>
  <c r="J162" s="1"/>
  <c r="J182" s="1"/>
  <c r="J202" s="1"/>
  <c r="J222" s="1"/>
  <c r="J242" s="1"/>
  <c r="J262" s="1"/>
  <c r="J282" s="1"/>
  <c r="J302" s="1"/>
  <c r="J322" s="1"/>
  <c r="J342" s="1"/>
  <c r="J362" s="1"/>
  <c r="J382" s="1"/>
  <c r="J402" s="1"/>
  <c r="J422" s="1"/>
  <c r="J442" s="1"/>
  <c r="J462" s="1"/>
  <c r="J482" s="1"/>
  <c r="J502" s="1"/>
  <c r="J522" s="1"/>
  <c r="J542" s="1"/>
  <c r="J562" s="1"/>
  <c r="J582" s="1"/>
  <c r="J602" s="1"/>
  <c r="J622" s="1"/>
  <c r="J642" s="1"/>
  <c r="J662" s="1"/>
  <c r="J682" s="1"/>
  <c r="J702" s="1"/>
  <c r="J722" s="1"/>
  <c r="J742" s="1"/>
  <c r="J762" s="1"/>
  <c r="J782" s="1"/>
  <c r="J802" s="1"/>
  <c r="J822" s="1"/>
  <c r="J842" s="1"/>
  <c r="J862" s="1"/>
  <c r="J882" s="1"/>
  <c r="J902" s="1"/>
  <c r="J922" s="1"/>
  <c r="J942" s="1"/>
  <c r="J962" s="1"/>
  <c r="J982" s="1"/>
  <c r="J83" s="1"/>
  <c r="F101"/>
  <c r="F121" s="1"/>
  <c r="F141" s="1"/>
  <c r="F161" s="1"/>
  <c r="F181" s="1"/>
  <c r="F201" s="1"/>
  <c r="F221" s="1"/>
  <c r="F241" s="1"/>
  <c r="F261" s="1"/>
  <c r="F281" s="1"/>
  <c r="F301" s="1"/>
  <c r="F321" s="1"/>
  <c r="F341" s="1"/>
  <c r="F361" s="1"/>
  <c r="F381" s="1"/>
  <c r="F401" s="1"/>
  <c r="F421" s="1"/>
  <c r="F441" s="1"/>
  <c r="F461" s="1"/>
  <c r="F481" s="1"/>
  <c r="F501" s="1"/>
  <c r="F521" s="1"/>
  <c r="F541" s="1"/>
  <c r="F561" s="1"/>
  <c r="F581" s="1"/>
  <c r="F601" s="1"/>
  <c r="F621" s="1"/>
  <c r="F641" s="1"/>
  <c r="F661" s="1"/>
  <c r="F681" s="1"/>
  <c r="F701" s="1"/>
  <c r="F721" s="1"/>
  <c r="F741" s="1"/>
  <c r="F761" s="1"/>
  <c r="F781" s="1"/>
  <c r="F801" s="1"/>
  <c r="F821" s="1"/>
  <c r="F841" s="1"/>
  <c r="F861" s="1"/>
  <c r="F881" s="1"/>
  <c r="F901" s="1"/>
  <c r="F921" s="1"/>
  <c r="F941" s="1"/>
  <c r="F961" s="1"/>
  <c r="F981" s="1"/>
  <c r="F82" s="1"/>
  <c r="F103"/>
  <c r="F123" s="1"/>
  <c r="F143" s="1"/>
  <c r="F163" s="1"/>
  <c r="F183" s="1"/>
  <c r="F203" s="1"/>
  <c r="F223" s="1"/>
  <c r="F243" s="1"/>
  <c r="F263" s="1"/>
  <c r="F283" s="1"/>
  <c r="F303" s="1"/>
  <c r="F323" s="1"/>
  <c r="F343" s="1"/>
  <c r="F363" s="1"/>
  <c r="F383" s="1"/>
  <c r="F403" s="1"/>
  <c r="F423" s="1"/>
  <c r="F443" s="1"/>
  <c r="F463" s="1"/>
  <c r="F483" s="1"/>
  <c r="F503" s="1"/>
  <c r="F523" s="1"/>
  <c r="F543" s="1"/>
  <c r="F563" s="1"/>
  <c r="F583" s="1"/>
  <c r="F603" s="1"/>
  <c r="F623" s="1"/>
  <c r="F643" s="1"/>
  <c r="F663" s="1"/>
  <c r="F683" s="1"/>
  <c r="F703" s="1"/>
  <c r="F723" s="1"/>
  <c r="F743" s="1"/>
  <c r="F763" s="1"/>
  <c r="F783" s="1"/>
  <c r="F803" s="1"/>
  <c r="F823" s="1"/>
  <c r="F843" s="1"/>
  <c r="F863" s="1"/>
  <c r="F883" s="1"/>
  <c r="F903" s="1"/>
  <c r="F923" s="1"/>
  <c r="F943" s="1"/>
  <c r="F963" s="1"/>
  <c r="F983" s="1"/>
  <c r="F84" s="1"/>
  <c r="F105"/>
  <c r="F125" s="1"/>
  <c r="F145" s="1"/>
  <c r="F165" s="1"/>
  <c r="F185" s="1"/>
  <c r="F205" s="1"/>
  <c r="F225" s="1"/>
  <c r="F245" s="1"/>
  <c r="F265" s="1"/>
  <c r="F285" s="1"/>
  <c r="F305" s="1"/>
  <c r="F325" s="1"/>
  <c r="F345" s="1"/>
  <c r="F365" s="1"/>
  <c r="F385" s="1"/>
  <c r="F405" s="1"/>
  <c r="F425" s="1"/>
  <c r="F445" s="1"/>
  <c r="F465" s="1"/>
  <c r="F485" s="1"/>
  <c r="F505" s="1"/>
  <c r="F525" s="1"/>
  <c r="F545" s="1"/>
  <c r="F565" s="1"/>
  <c r="F585" s="1"/>
  <c r="F605" s="1"/>
  <c r="F625" s="1"/>
  <c r="F645" s="1"/>
  <c r="F665" s="1"/>
  <c r="F685" s="1"/>
  <c r="F705" s="1"/>
  <c r="F725" s="1"/>
  <c r="F745" s="1"/>
  <c r="F765" s="1"/>
  <c r="F785" s="1"/>
  <c r="F805" s="1"/>
  <c r="F825" s="1"/>
  <c r="F845" s="1"/>
  <c r="F865" s="1"/>
  <c r="F885" s="1"/>
  <c r="F905" s="1"/>
  <c r="F925" s="1"/>
  <c r="F945" s="1"/>
  <c r="F965" s="1"/>
  <c r="F985" s="1"/>
  <c r="F86" s="1"/>
  <c r="F107"/>
  <c r="F127" s="1"/>
  <c r="F147" s="1"/>
  <c r="F167" s="1"/>
  <c r="F187" s="1"/>
  <c r="F207" s="1"/>
  <c r="F227" s="1"/>
  <c r="F247" s="1"/>
  <c r="F267" s="1"/>
  <c r="F287" s="1"/>
  <c r="F307" s="1"/>
  <c r="F327" s="1"/>
  <c r="F347" s="1"/>
  <c r="F367" s="1"/>
  <c r="F387" s="1"/>
  <c r="F407" s="1"/>
  <c r="F427" s="1"/>
  <c r="F447" s="1"/>
  <c r="F467" s="1"/>
  <c r="F487" s="1"/>
  <c r="F507" s="1"/>
  <c r="F527" s="1"/>
  <c r="F547" s="1"/>
  <c r="F567" s="1"/>
  <c r="F587" s="1"/>
  <c r="F607" s="1"/>
  <c r="F627" s="1"/>
  <c r="F647" s="1"/>
  <c r="F667" s="1"/>
  <c r="F687" s="1"/>
  <c r="F707" s="1"/>
  <c r="F727" s="1"/>
  <c r="F747" s="1"/>
  <c r="F767" s="1"/>
  <c r="F787" s="1"/>
  <c r="F807" s="1"/>
  <c r="F827" s="1"/>
  <c r="F847" s="1"/>
  <c r="F867" s="1"/>
  <c r="F887" s="1"/>
  <c r="F907" s="1"/>
  <c r="F927" s="1"/>
  <c r="F947" s="1"/>
  <c r="F967" s="1"/>
  <c r="F987" s="1"/>
  <c r="F88" s="1"/>
  <c r="F102"/>
  <c r="F122" s="1"/>
  <c r="F142" s="1"/>
  <c r="F162" s="1"/>
  <c r="F182" s="1"/>
  <c r="F202" s="1"/>
  <c r="F222" s="1"/>
  <c r="F242" s="1"/>
  <c r="F262" s="1"/>
  <c r="F282" s="1"/>
  <c r="F302" s="1"/>
  <c r="F322" s="1"/>
  <c r="F342" s="1"/>
  <c r="F362" s="1"/>
  <c r="F382" s="1"/>
  <c r="F402" s="1"/>
  <c r="F422" s="1"/>
  <c r="F442" s="1"/>
  <c r="F462" s="1"/>
  <c r="F482" s="1"/>
  <c r="F502" s="1"/>
  <c r="F522" s="1"/>
  <c r="F542" s="1"/>
  <c r="F562" s="1"/>
  <c r="F582" s="1"/>
  <c r="F602" s="1"/>
  <c r="F622" s="1"/>
  <c r="F642" s="1"/>
  <c r="F662" s="1"/>
  <c r="F682" s="1"/>
  <c r="F702" s="1"/>
  <c r="F722" s="1"/>
  <c r="F742" s="1"/>
  <c r="F762" s="1"/>
  <c r="F782" s="1"/>
  <c r="F802" s="1"/>
  <c r="F822" s="1"/>
  <c r="F842" s="1"/>
  <c r="F862" s="1"/>
  <c r="F882" s="1"/>
  <c r="F902" s="1"/>
  <c r="F922" s="1"/>
  <c r="F942" s="1"/>
  <c r="F962" s="1"/>
  <c r="F982" s="1"/>
  <c r="F83" s="1"/>
  <c r="F104"/>
  <c r="F124" s="1"/>
  <c r="F144" s="1"/>
  <c r="F164" s="1"/>
  <c r="F184" s="1"/>
  <c r="F204" s="1"/>
  <c r="F224" s="1"/>
  <c r="F244" s="1"/>
  <c r="F264" s="1"/>
  <c r="F284" s="1"/>
  <c r="F304" s="1"/>
  <c r="F324" s="1"/>
  <c r="F344" s="1"/>
  <c r="F364" s="1"/>
  <c r="F384" s="1"/>
  <c r="F404" s="1"/>
  <c r="F424" s="1"/>
  <c r="F444" s="1"/>
  <c r="F464" s="1"/>
  <c r="F484" s="1"/>
  <c r="F504" s="1"/>
  <c r="F524" s="1"/>
  <c r="F544" s="1"/>
  <c r="F564" s="1"/>
  <c r="F584" s="1"/>
  <c r="F604" s="1"/>
  <c r="F624" s="1"/>
  <c r="F644" s="1"/>
  <c r="F664" s="1"/>
  <c r="F684" s="1"/>
  <c r="F704" s="1"/>
  <c r="F724" s="1"/>
  <c r="F744" s="1"/>
  <c r="F764" s="1"/>
  <c r="F784" s="1"/>
  <c r="F804" s="1"/>
  <c r="F824" s="1"/>
  <c r="F844" s="1"/>
  <c r="F864" s="1"/>
  <c r="F884" s="1"/>
  <c r="F904" s="1"/>
  <c r="F924" s="1"/>
  <c r="F944" s="1"/>
  <c r="F964" s="1"/>
  <c r="F984" s="1"/>
  <c r="F85" s="1"/>
  <c r="F106"/>
  <c r="F126" s="1"/>
  <c r="F146" s="1"/>
  <c r="F166" s="1"/>
  <c r="F186" s="1"/>
  <c r="F206" s="1"/>
  <c r="F226" s="1"/>
  <c r="F246" s="1"/>
  <c r="F266" s="1"/>
  <c r="F286" s="1"/>
  <c r="F306" s="1"/>
  <c r="F326" s="1"/>
  <c r="F346" s="1"/>
  <c r="F366" s="1"/>
  <c r="F386" s="1"/>
  <c r="F406" s="1"/>
  <c r="F426" s="1"/>
  <c r="F446" s="1"/>
  <c r="F466" s="1"/>
  <c r="F486" s="1"/>
  <c r="F506" s="1"/>
  <c r="F526" s="1"/>
  <c r="F546" s="1"/>
  <c r="F566" s="1"/>
  <c r="F586" s="1"/>
  <c r="F606" s="1"/>
  <c r="F626" s="1"/>
  <c r="F646" s="1"/>
  <c r="F666" s="1"/>
  <c r="F686" s="1"/>
  <c r="F706" s="1"/>
  <c r="F726" s="1"/>
  <c r="F746" s="1"/>
  <c r="F766" s="1"/>
  <c r="F786" s="1"/>
  <c r="F806" s="1"/>
  <c r="F826" s="1"/>
  <c r="F846" s="1"/>
  <c r="F866" s="1"/>
  <c r="F886" s="1"/>
  <c r="F906" s="1"/>
  <c r="F926" s="1"/>
  <c r="F946" s="1"/>
  <c r="F966" s="1"/>
  <c r="F986" s="1"/>
  <c r="F87" s="1"/>
  <c r="F108"/>
  <c r="F128" s="1"/>
  <c r="F148" s="1"/>
  <c r="F168" s="1"/>
  <c r="F188" s="1"/>
  <c r="F208" s="1"/>
  <c r="F228" s="1"/>
  <c r="F248" s="1"/>
  <c r="F268" s="1"/>
  <c r="F288" s="1"/>
  <c r="F308" s="1"/>
  <c r="F328" s="1"/>
  <c r="F348" s="1"/>
  <c r="F368" s="1"/>
  <c r="F388" s="1"/>
  <c r="F408" s="1"/>
  <c r="F428" s="1"/>
  <c r="F448" s="1"/>
  <c r="F468" s="1"/>
  <c r="F488" s="1"/>
  <c r="F508" s="1"/>
  <c r="F528" s="1"/>
  <c r="F548" s="1"/>
  <c r="F568" s="1"/>
  <c r="F588" s="1"/>
  <c r="F608" s="1"/>
  <c r="F628" s="1"/>
  <c r="F648" s="1"/>
  <c r="F668" s="1"/>
  <c r="F688" s="1"/>
  <c r="F708" s="1"/>
  <c r="F728" s="1"/>
  <c r="F748" s="1"/>
  <c r="F768" s="1"/>
  <c r="F788" s="1"/>
  <c r="F808" s="1"/>
  <c r="F828" s="1"/>
  <c r="F848" s="1"/>
  <c r="F868" s="1"/>
  <c r="F888" s="1"/>
  <c r="F908" s="1"/>
  <c r="F928" s="1"/>
  <c r="F948" s="1"/>
  <c r="F968" s="1"/>
  <c r="F988" s="1"/>
  <c r="F89" s="1"/>
  <c r="R130"/>
  <c r="X71"/>
  <c r="X70"/>
  <c r="K70"/>
  <c r="B121"/>
  <c r="AA120"/>
  <c r="I70"/>
  <c r="C117" i="10" l="1"/>
  <c r="J116"/>
  <c r="H116"/>
  <c r="F117"/>
  <c r="I117" s="1"/>
  <c r="H53" i="6"/>
  <c r="O53"/>
  <c r="F116" i="10"/>
  <c r="I116" s="1"/>
  <c r="K115"/>
  <c r="BC74" i="15"/>
  <c r="BC78" s="1"/>
  <c r="J140"/>
  <c r="H61"/>
  <c r="I61" s="1"/>
  <c r="AT104" i="1"/>
  <c r="AT100"/>
  <c r="AT96"/>
  <c r="AT92"/>
  <c r="AT88"/>
  <c r="AT84"/>
  <c r="AT80"/>
  <c r="AT76"/>
  <c r="AT72"/>
  <c r="AT101"/>
  <c r="AT97"/>
  <c r="AT93"/>
  <c r="AT89"/>
  <c r="AT85"/>
  <c r="AT81"/>
  <c r="AT77"/>
  <c r="AT73"/>
  <c r="AT102"/>
  <c r="AT98"/>
  <c r="AT94"/>
  <c r="AT90"/>
  <c r="AT86"/>
  <c r="AT82"/>
  <c r="AT78"/>
  <c r="AT74"/>
  <c r="AT103"/>
  <c r="AT99"/>
  <c r="AT95"/>
  <c r="AT91"/>
  <c r="AT87"/>
  <c r="AT83"/>
  <c r="AT79"/>
  <c r="AT75"/>
  <c r="AT71"/>
  <c r="AQ103"/>
  <c r="AQ101"/>
  <c r="AQ99"/>
  <c r="AQ97"/>
  <c r="AQ95"/>
  <c r="AQ93"/>
  <c r="AQ91"/>
  <c r="AQ89"/>
  <c r="AQ87"/>
  <c r="AQ85"/>
  <c r="AQ83"/>
  <c r="AQ81"/>
  <c r="AQ79"/>
  <c r="AQ77"/>
  <c r="AQ75"/>
  <c r="AQ73"/>
  <c r="AQ71"/>
  <c r="AQ104"/>
  <c r="AQ102"/>
  <c r="AQ100"/>
  <c r="AQ98"/>
  <c r="AQ96"/>
  <c r="AQ94"/>
  <c r="AQ92"/>
  <c r="AQ90"/>
  <c r="AQ88"/>
  <c r="AQ86"/>
  <c r="AQ84"/>
  <c r="AQ82"/>
  <c r="AQ80"/>
  <c r="AQ78"/>
  <c r="AQ76"/>
  <c r="AQ74"/>
  <c r="AQ72"/>
  <c r="AW101"/>
  <c r="AW97"/>
  <c r="AW93"/>
  <c r="AW89"/>
  <c r="AW85"/>
  <c r="AW81"/>
  <c r="AW77"/>
  <c r="AW73"/>
  <c r="AW104"/>
  <c r="AW100"/>
  <c r="AW96"/>
  <c r="AW92"/>
  <c r="AW88"/>
  <c r="AW84"/>
  <c r="AW80"/>
  <c r="AW76"/>
  <c r="AW72"/>
  <c r="AW103"/>
  <c r="AW99"/>
  <c r="AW95"/>
  <c r="AW91"/>
  <c r="AW87"/>
  <c r="AW83"/>
  <c r="AW79"/>
  <c r="AW75"/>
  <c r="AW71"/>
  <c r="AW102"/>
  <c r="AW98"/>
  <c r="AW94"/>
  <c r="AW90"/>
  <c r="AW86"/>
  <c r="AW82"/>
  <c r="AW78"/>
  <c r="AW74"/>
  <c r="AS104"/>
  <c r="AS103"/>
  <c r="AS102"/>
  <c r="AS101"/>
  <c r="AS100"/>
  <c r="AS99"/>
  <c r="AS98"/>
  <c r="AS97"/>
  <c r="AS96"/>
  <c r="AS95"/>
  <c r="AS94"/>
  <c r="AS93"/>
  <c r="AS92"/>
  <c r="AS91"/>
  <c r="AS90"/>
  <c r="AS89"/>
  <c r="AS88"/>
  <c r="AS87"/>
  <c r="AS86"/>
  <c r="AS85"/>
  <c r="AS84"/>
  <c r="AS83"/>
  <c r="AS82"/>
  <c r="AS81"/>
  <c r="AS80"/>
  <c r="AS79"/>
  <c r="AS78"/>
  <c r="AS77"/>
  <c r="AS76"/>
  <c r="AS75"/>
  <c r="AS74"/>
  <c r="AS73"/>
  <c r="AS72"/>
  <c r="AS71"/>
  <c r="AR104"/>
  <c r="AR102"/>
  <c r="AR100"/>
  <c r="AR98"/>
  <c r="AR96"/>
  <c r="AR94"/>
  <c r="AR92"/>
  <c r="AR90"/>
  <c r="AR88"/>
  <c r="AR86"/>
  <c r="AR84"/>
  <c r="AR82"/>
  <c r="AR80"/>
  <c r="AR78"/>
  <c r="AR76"/>
  <c r="AR74"/>
  <c r="AR72"/>
  <c r="AR103"/>
  <c r="AR101"/>
  <c r="AR99"/>
  <c r="AR97"/>
  <c r="AR95"/>
  <c r="AR93"/>
  <c r="AR91"/>
  <c r="AR89"/>
  <c r="AR87"/>
  <c r="AR85"/>
  <c r="AR83"/>
  <c r="AR81"/>
  <c r="AR79"/>
  <c r="AR77"/>
  <c r="AR75"/>
  <c r="AR73"/>
  <c r="AR71"/>
  <c r="K83" i="15"/>
  <c r="K71" s="1"/>
  <c r="K125"/>
  <c r="K126" s="1"/>
  <c r="K127" s="1"/>
  <c r="K128" s="1"/>
  <c r="K129" s="1"/>
  <c r="K130" s="1"/>
  <c r="K131" s="1"/>
  <c r="K121"/>
  <c r="K122" s="1"/>
  <c r="K123" s="1"/>
  <c r="K124" s="1"/>
  <c r="Q56" i="17"/>
  <c r="P56" s="1"/>
  <c r="N57" s="1"/>
  <c r="L73" i="15"/>
  <c r="L74"/>
  <c r="M73"/>
  <c r="M74"/>
  <c r="H143"/>
  <c r="H141"/>
  <c r="H139"/>
  <c r="H137"/>
  <c r="H135"/>
  <c r="H133"/>
  <c r="H142"/>
  <c r="H140"/>
  <c r="H138"/>
  <c r="H136"/>
  <c r="H134"/>
  <c r="BA79"/>
  <c r="BA78"/>
  <c r="J136"/>
  <c r="J134"/>
  <c r="J138"/>
  <c r="J143"/>
  <c r="L85"/>
  <c r="L95" s="1"/>
  <c r="L114" s="1"/>
  <c r="J133"/>
  <c r="J135"/>
  <c r="J137"/>
  <c r="J139"/>
  <c r="J141"/>
  <c r="M85"/>
  <c r="BD74"/>
  <c r="BD78" s="1"/>
  <c r="AW22"/>
  <c r="AS9" s="1"/>
  <c r="AW13"/>
  <c r="B49" i="10"/>
  <c r="G45"/>
  <c r="E48"/>
  <c r="A47"/>
  <c r="D46"/>
  <c r="L46" s="1"/>
  <c r="CF28" i="1"/>
  <c r="CE29"/>
  <c r="CF29" s="1"/>
  <c r="C101"/>
  <c r="X101" s="1"/>
  <c r="B103"/>
  <c r="B123" s="1"/>
  <c r="B143" s="1"/>
  <c r="B163" s="1"/>
  <c r="B183" s="1"/>
  <c r="B203" s="1"/>
  <c r="B223" s="1"/>
  <c r="B243" s="1"/>
  <c r="B263" s="1"/>
  <c r="B283" s="1"/>
  <c r="B303" s="1"/>
  <c r="B323" s="1"/>
  <c r="B343" s="1"/>
  <c r="B363" s="1"/>
  <c r="B383" s="1"/>
  <c r="B403" s="1"/>
  <c r="B423" s="1"/>
  <c r="B443" s="1"/>
  <c r="B463" s="1"/>
  <c r="B483" s="1"/>
  <c r="B503" s="1"/>
  <c r="B523" s="1"/>
  <c r="B543" s="1"/>
  <c r="B563" s="1"/>
  <c r="B583" s="1"/>
  <c r="B603" s="1"/>
  <c r="B623" s="1"/>
  <c r="B643" s="1"/>
  <c r="B663" s="1"/>
  <c r="B683" s="1"/>
  <c r="B703" s="1"/>
  <c r="B723" s="1"/>
  <c r="B743" s="1"/>
  <c r="B763" s="1"/>
  <c r="B783" s="1"/>
  <c r="B803" s="1"/>
  <c r="B823" s="1"/>
  <c r="B843" s="1"/>
  <c r="B863" s="1"/>
  <c r="B883" s="1"/>
  <c r="B903" s="1"/>
  <c r="B923" s="1"/>
  <c r="B943" s="1"/>
  <c r="B963" s="1"/>
  <c r="B983" s="1"/>
  <c r="B84" s="1"/>
  <c r="C100"/>
  <c r="X100" s="1"/>
  <c r="C102"/>
  <c r="X102" s="1"/>
  <c r="X72"/>
  <c r="I72"/>
  <c r="Q129"/>
  <c r="R150"/>
  <c r="I71"/>
  <c r="M70"/>
  <c r="N70" s="1"/>
  <c r="K71"/>
  <c r="I73"/>
  <c r="X73"/>
  <c r="AA103"/>
  <c r="AA123" s="1"/>
  <c r="AA143" s="1"/>
  <c r="AA163" s="1"/>
  <c r="AA183" s="1"/>
  <c r="AA203" s="1"/>
  <c r="AA223" s="1"/>
  <c r="AA243" s="1"/>
  <c r="AA263" s="1"/>
  <c r="AA283" s="1"/>
  <c r="AA303" s="1"/>
  <c r="AA323" s="1"/>
  <c r="AA343" s="1"/>
  <c r="AA363" s="1"/>
  <c r="AA383" s="1"/>
  <c r="AA403" s="1"/>
  <c r="AA423" s="1"/>
  <c r="AA443" s="1"/>
  <c r="AA463" s="1"/>
  <c r="AA483" s="1"/>
  <c r="AA503" s="1"/>
  <c r="AA523" s="1"/>
  <c r="AA543" s="1"/>
  <c r="AA563" s="1"/>
  <c r="AA583" s="1"/>
  <c r="AA603" s="1"/>
  <c r="AA623" s="1"/>
  <c r="AA643" s="1"/>
  <c r="AA663" s="1"/>
  <c r="AA683" s="1"/>
  <c r="AA703" s="1"/>
  <c r="AA723" s="1"/>
  <c r="AA743" s="1"/>
  <c r="AA763" s="1"/>
  <c r="AA783" s="1"/>
  <c r="AA803" s="1"/>
  <c r="AA823" s="1"/>
  <c r="AA843" s="1"/>
  <c r="AA863" s="1"/>
  <c r="AA883" s="1"/>
  <c r="AA903" s="1"/>
  <c r="AA923" s="1"/>
  <c r="AA943" s="1"/>
  <c r="AA963" s="1"/>
  <c r="AA983" s="1"/>
  <c r="J103"/>
  <c r="B140"/>
  <c r="AA140"/>
  <c r="B141"/>
  <c r="I101"/>
  <c r="K116" i="10" l="1"/>
  <c r="C118"/>
  <c r="J117"/>
  <c r="H117"/>
  <c r="F118"/>
  <c r="I118" s="1"/>
  <c r="K106" i="15"/>
  <c r="K143" s="1"/>
  <c r="Q57" i="17"/>
  <c r="L91" i="15"/>
  <c r="L110" s="1"/>
  <c r="L100"/>
  <c r="L119" s="1"/>
  <c r="L93"/>
  <c r="L112" s="1"/>
  <c r="L99"/>
  <c r="L118" s="1"/>
  <c r="L92"/>
  <c r="L111" s="1"/>
  <c r="L96"/>
  <c r="L115" s="1"/>
  <c r="L82"/>
  <c r="L97"/>
  <c r="L116" s="1"/>
  <c r="L90"/>
  <c r="L109" s="1"/>
  <c r="L121" s="1"/>
  <c r="L122" s="1"/>
  <c r="L123" s="1"/>
  <c r="L124" s="1"/>
  <c r="L94"/>
  <c r="L113" s="1"/>
  <c r="L98"/>
  <c r="L117" s="1"/>
  <c r="M100"/>
  <c r="M119" s="1"/>
  <c r="M93"/>
  <c r="M112" s="1"/>
  <c r="M97"/>
  <c r="M116" s="1"/>
  <c r="M90"/>
  <c r="M109" s="1"/>
  <c r="M92"/>
  <c r="M111" s="1"/>
  <c r="M96"/>
  <c r="M115" s="1"/>
  <c r="M82"/>
  <c r="M91"/>
  <c r="M110" s="1"/>
  <c r="M95"/>
  <c r="M114" s="1"/>
  <c r="M99"/>
  <c r="M118" s="1"/>
  <c r="M94"/>
  <c r="M113" s="1"/>
  <c r="M98"/>
  <c r="M117" s="1"/>
  <c r="B50" i="10"/>
  <c r="G46"/>
  <c r="E49"/>
  <c r="A48"/>
  <c r="D47"/>
  <c r="L47" s="1"/>
  <c r="O70" i="1"/>
  <c r="I102"/>
  <c r="I100"/>
  <c r="C103"/>
  <c r="X103" s="1"/>
  <c r="AA104"/>
  <c r="AA124" s="1"/>
  <c r="AA144" s="1"/>
  <c r="AA164" s="1"/>
  <c r="AA184" s="1"/>
  <c r="AA204" s="1"/>
  <c r="AA224" s="1"/>
  <c r="AA244" s="1"/>
  <c r="AA264" s="1"/>
  <c r="AA284" s="1"/>
  <c r="AA304" s="1"/>
  <c r="AA324" s="1"/>
  <c r="AA344" s="1"/>
  <c r="AA364" s="1"/>
  <c r="AA384" s="1"/>
  <c r="AA404" s="1"/>
  <c r="AA424" s="1"/>
  <c r="AA444" s="1"/>
  <c r="AA464" s="1"/>
  <c r="AA484" s="1"/>
  <c r="AA504" s="1"/>
  <c r="AA524" s="1"/>
  <c r="AA544" s="1"/>
  <c r="AA564" s="1"/>
  <c r="AA584" s="1"/>
  <c r="AA604" s="1"/>
  <c r="AA624" s="1"/>
  <c r="AA644" s="1"/>
  <c r="AA664" s="1"/>
  <c r="AA684" s="1"/>
  <c r="AA704" s="1"/>
  <c r="AA724" s="1"/>
  <c r="AA744" s="1"/>
  <c r="AA764" s="1"/>
  <c r="AA784" s="1"/>
  <c r="AA804" s="1"/>
  <c r="AA824" s="1"/>
  <c r="AA844" s="1"/>
  <c r="AA864" s="1"/>
  <c r="AA884" s="1"/>
  <c r="AA904" s="1"/>
  <c r="AA924" s="1"/>
  <c r="AA944" s="1"/>
  <c r="AA964" s="1"/>
  <c r="AA984" s="1"/>
  <c r="B104"/>
  <c r="K100"/>
  <c r="M100" s="1"/>
  <c r="N100" s="1"/>
  <c r="Q149"/>
  <c r="R170"/>
  <c r="M71"/>
  <c r="N71" s="1"/>
  <c r="K72"/>
  <c r="AD70"/>
  <c r="P70"/>
  <c r="B160"/>
  <c r="B161"/>
  <c r="AA160"/>
  <c r="J123"/>
  <c r="J104"/>
  <c r="C119" i="10" l="1"/>
  <c r="J118"/>
  <c r="K118" s="1"/>
  <c r="H118"/>
  <c r="F119"/>
  <c r="I119" s="1"/>
  <c r="K117"/>
  <c r="K136" i="15"/>
  <c r="K140"/>
  <c r="K134"/>
  <c r="K138"/>
  <c r="K142"/>
  <c r="K133"/>
  <c r="K135"/>
  <c r="K137"/>
  <c r="K139"/>
  <c r="K141"/>
  <c r="P57" i="17"/>
  <c r="L125" i="15"/>
  <c r="L126" s="1"/>
  <c r="L127" s="1"/>
  <c r="L128" s="1"/>
  <c r="L129" s="1"/>
  <c r="L130" s="1"/>
  <c r="L131" s="1"/>
  <c r="L70"/>
  <c r="L83"/>
  <c r="M70"/>
  <c r="M83"/>
  <c r="M125"/>
  <c r="M126" s="1"/>
  <c r="M127" s="1"/>
  <c r="M128" s="1"/>
  <c r="M129" s="1"/>
  <c r="M130" s="1"/>
  <c r="M131" s="1"/>
  <c r="M121"/>
  <c r="M122" s="1"/>
  <c r="M123" s="1"/>
  <c r="M124" s="1"/>
  <c r="B51" i="10"/>
  <c r="E50"/>
  <c r="G47"/>
  <c r="A49"/>
  <c r="D48"/>
  <c r="L48" s="1"/>
  <c r="O100" i="1"/>
  <c r="O71"/>
  <c r="AD71"/>
  <c r="I103"/>
  <c r="B124"/>
  <c r="B144" s="1"/>
  <c r="B164" s="1"/>
  <c r="B184" s="1"/>
  <c r="B204" s="1"/>
  <c r="B224" s="1"/>
  <c r="B244" s="1"/>
  <c r="B264" s="1"/>
  <c r="B284" s="1"/>
  <c r="B304" s="1"/>
  <c r="B324" s="1"/>
  <c r="B344" s="1"/>
  <c r="B364" s="1"/>
  <c r="B384" s="1"/>
  <c r="B404" s="1"/>
  <c r="B424" s="1"/>
  <c r="B444" s="1"/>
  <c r="B464" s="1"/>
  <c r="B484" s="1"/>
  <c r="B504" s="1"/>
  <c r="B524" s="1"/>
  <c r="B544" s="1"/>
  <c r="B564" s="1"/>
  <c r="B584" s="1"/>
  <c r="B604" s="1"/>
  <c r="B624" s="1"/>
  <c r="B644" s="1"/>
  <c r="B664" s="1"/>
  <c r="B684" s="1"/>
  <c r="B704" s="1"/>
  <c r="B724" s="1"/>
  <c r="B744" s="1"/>
  <c r="B764" s="1"/>
  <c r="B784" s="1"/>
  <c r="B804" s="1"/>
  <c r="B824" s="1"/>
  <c r="B844" s="1"/>
  <c r="B864" s="1"/>
  <c r="B884" s="1"/>
  <c r="B904" s="1"/>
  <c r="B924" s="1"/>
  <c r="B944" s="1"/>
  <c r="B964" s="1"/>
  <c r="B984" s="1"/>
  <c r="B85" s="1"/>
  <c r="C104"/>
  <c r="X104" s="1"/>
  <c r="AA105"/>
  <c r="AA125" s="1"/>
  <c r="AA145" s="1"/>
  <c r="AA165" s="1"/>
  <c r="AA185" s="1"/>
  <c r="AA205" s="1"/>
  <c r="AA225" s="1"/>
  <c r="AA245" s="1"/>
  <c r="AA265" s="1"/>
  <c r="AA285" s="1"/>
  <c r="AA305" s="1"/>
  <c r="AA325" s="1"/>
  <c r="AA345" s="1"/>
  <c r="AA365" s="1"/>
  <c r="AA385" s="1"/>
  <c r="AA405" s="1"/>
  <c r="AA425" s="1"/>
  <c r="AA445" s="1"/>
  <c r="AA465" s="1"/>
  <c r="AA485" s="1"/>
  <c r="AA505" s="1"/>
  <c r="AA525" s="1"/>
  <c r="AA545" s="1"/>
  <c r="AA565" s="1"/>
  <c r="AA585" s="1"/>
  <c r="AA605" s="1"/>
  <c r="AA625" s="1"/>
  <c r="AA645" s="1"/>
  <c r="AA665" s="1"/>
  <c r="AA685" s="1"/>
  <c r="AA705" s="1"/>
  <c r="AA725" s="1"/>
  <c r="AA745" s="1"/>
  <c r="AA765" s="1"/>
  <c r="AA785" s="1"/>
  <c r="AA805" s="1"/>
  <c r="AA825" s="1"/>
  <c r="AA845" s="1"/>
  <c r="AA865" s="1"/>
  <c r="AA885" s="1"/>
  <c r="AA905" s="1"/>
  <c r="AA925" s="1"/>
  <c r="AA945" s="1"/>
  <c r="AA965" s="1"/>
  <c r="AA985" s="1"/>
  <c r="B105"/>
  <c r="X75"/>
  <c r="I74"/>
  <c r="X74"/>
  <c r="K101"/>
  <c r="M101" s="1"/>
  <c r="N101" s="1"/>
  <c r="Q169"/>
  <c r="R190"/>
  <c r="P71"/>
  <c r="M72"/>
  <c r="N72" s="1"/>
  <c r="K73"/>
  <c r="J105"/>
  <c r="B181"/>
  <c r="J124"/>
  <c r="J143"/>
  <c r="B180"/>
  <c r="AA180"/>
  <c r="P100"/>
  <c r="C120" i="10" l="1"/>
  <c r="J119"/>
  <c r="H119"/>
  <c r="F120"/>
  <c r="I120" s="1"/>
  <c r="K102" i="1"/>
  <c r="P60" i="17"/>
  <c r="N58"/>
  <c r="Q58"/>
  <c r="Q60" s="1"/>
  <c r="L71" i="15"/>
  <c r="L106"/>
  <c r="BE74"/>
  <c r="BE78" s="1"/>
  <c r="BF74"/>
  <c r="BF78" s="1"/>
  <c r="M71"/>
  <c r="M106"/>
  <c r="B52" i="10"/>
  <c r="E51"/>
  <c r="G48"/>
  <c r="A50"/>
  <c r="D49"/>
  <c r="L49" s="1"/>
  <c r="O72" i="1"/>
  <c r="AD72"/>
  <c r="O101"/>
  <c r="B125"/>
  <c r="B145" s="1"/>
  <c r="B165" s="1"/>
  <c r="B185" s="1"/>
  <c r="B205" s="1"/>
  <c r="B225" s="1"/>
  <c r="B245" s="1"/>
  <c r="B265" s="1"/>
  <c r="B285" s="1"/>
  <c r="B305" s="1"/>
  <c r="B325" s="1"/>
  <c r="B345" s="1"/>
  <c r="B365" s="1"/>
  <c r="B385" s="1"/>
  <c r="B405" s="1"/>
  <c r="B425" s="1"/>
  <c r="B445" s="1"/>
  <c r="B465" s="1"/>
  <c r="B485" s="1"/>
  <c r="B505" s="1"/>
  <c r="B525" s="1"/>
  <c r="B545" s="1"/>
  <c r="B565" s="1"/>
  <c r="B585" s="1"/>
  <c r="B605" s="1"/>
  <c r="B625" s="1"/>
  <c r="B645" s="1"/>
  <c r="B665" s="1"/>
  <c r="B685" s="1"/>
  <c r="B705" s="1"/>
  <c r="B725" s="1"/>
  <c r="B745" s="1"/>
  <c r="B765" s="1"/>
  <c r="B785" s="1"/>
  <c r="B805" s="1"/>
  <c r="B825" s="1"/>
  <c r="B845" s="1"/>
  <c r="B865" s="1"/>
  <c r="B885" s="1"/>
  <c r="B905" s="1"/>
  <c r="B925" s="1"/>
  <c r="B945" s="1"/>
  <c r="B965" s="1"/>
  <c r="B985" s="1"/>
  <c r="B86" s="1"/>
  <c r="C105"/>
  <c r="X105" s="1"/>
  <c r="AA106"/>
  <c r="AA126" s="1"/>
  <c r="AA146" s="1"/>
  <c r="AA166" s="1"/>
  <c r="AA186" s="1"/>
  <c r="AA206" s="1"/>
  <c r="AA226" s="1"/>
  <c r="AA246" s="1"/>
  <c r="AA266" s="1"/>
  <c r="AA286" s="1"/>
  <c r="AA306" s="1"/>
  <c r="AA326" s="1"/>
  <c r="AA346" s="1"/>
  <c r="AA366" s="1"/>
  <c r="AA386" s="1"/>
  <c r="AA406" s="1"/>
  <c r="AA426" s="1"/>
  <c r="AA446" s="1"/>
  <c r="AA466" s="1"/>
  <c r="AA486" s="1"/>
  <c r="AA506" s="1"/>
  <c r="AA526" s="1"/>
  <c r="AA546" s="1"/>
  <c r="AA566" s="1"/>
  <c r="AA586" s="1"/>
  <c r="AA606" s="1"/>
  <c r="AA626" s="1"/>
  <c r="AA646" s="1"/>
  <c r="AA666" s="1"/>
  <c r="AA686" s="1"/>
  <c r="AA706" s="1"/>
  <c r="AA726" s="1"/>
  <c r="AA746" s="1"/>
  <c r="AA766" s="1"/>
  <c r="AA786" s="1"/>
  <c r="AA806" s="1"/>
  <c r="AA826" s="1"/>
  <c r="AA846" s="1"/>
  <c r="AA866" s="1"/>
  <c r="AA886" s="1"/>
  <c r="AA906" s="1"/>
  <c r="AA926" s="1"/>
  <c r="AA946" s="1"/>
  <c r="AA966" s="1"/>
  <c r="AA986" s="1"/>
  <c r="B106"/>
  <c r="X76"/>
  <c r="I75"/>
  <c r="I104"/>
  <c r="Q189"/>
  <c r="R210"/>
  <c r="K74"/>
  <c r="M73"/>
  <c r="N73" s="1"/>
  <c r="P72"/>
  <c r="P101"/>
  <c r="B200"/>
  <c r="J163"/>
  <c r="J144"/>
  <c r="B201"/>
  <c r="J106"/>
  <c r="AA200"/>
  <c r="M102"/>
  <c r="N102" s="1"/>
  <c r="K103"/>
  <c r="J125"/>
  <c r="K119" i="10" l="1"/>
  <c r="C121"/>
  <c r="F121" s="1"/>
  <c r="I121" s="1"/>
  <c r="J120"/>
  <c r="H120"/>
  <c r="P58" i="17"/>
  <c r="N60"/>
  <c r="L142" i="15"/>
  <c r="L140"/>
  <c r="L138"/>
  <c r="L136"/>
  <c r="L134"/>
  <c r="L143"/>
  <c r="L141"/>
  <c r="L139"/>
  <c r="L137"/>
  <c r="L135"/>
  <c r="L133"/>
  <c r="M142"/>
  <c r="M140"/>
  <c r="M136"/>
  <c r="M134"/>
  <c r="M143"/>
  <c r="M141"/>
  <c r="M139"/>
  <c r="M137"/>
  <c r="M135"/>
  <c r="M133"/>
  <c r="M138"/>
  <c r="B53" i="10"/>
  <c r="G49"/>
  <c r="E52"/>
  <c r="A51"/>
  <c r="D50"/>
  <c r="L50" s="1"/>
  <c r="O102" i="1"/>
  <c r="O73"/>
  <c r="I105"/>
  <c r="B126"/>
  <c r="B146" s="1"/>
  <c r="B166" s="1"/>
  <c r="B186" s="1"/>
  <c r="B206" s="1"/>
  <c r="B226" s="1"/>
  <c r="B246" s="1"/>
  <c r="B266" s="1"/>
  <c r="B286" s="1"/>
  <c r="B306" s="1"/>
  <c r="B326" s="1"/>
  <c r="B346" s="1"/>
  <c r="B366" s="1"/>
  <c r="B386" s="1"/>
  <c r="B406" s="1"/>
  <c r="B426" s="1"/>
  <c r="B446" s="1"/>
  <c r="B466" s="1"/>
  <c r="B486" s="1"/>
  <c r="B506" s="1"/>
  <c r="B526" s="1"/>
  <c r="B546" s="1"/>
  <c r="B566" s="1"/>
  <c r="B586" s="1"/>
  <c r="B606" s="1"/>
  <c r="B626" s="1"/>
  <c r="B646" s="1"/>
  <c r="B666" s="1"/>
  <c r="B686" s="1"/>
  <c r="B706" s="1"/>
  <c r="B726" s="1"/>
  <c r="B746" s="1"/>
  <c r="B766" s="1"/>
  <c r="B786" s="1"/>
  <c r="B806" s="1"/>
  <c r="B826" s="1"/>
  <c r="B846" s="1"/>
  <c r="B866" s="1"/>
  <c r="B886" s="1"/>
  <c r="B906" s="1"/>
  <c r="B926" s="1"/>
  <c r="B946" s="1"/>
  <c r="B966" s="1"/>
  <c r="B986" s="1"/>
  <c r="B87" s="1"/>
  <c r="C106"/>
  <c r="X106" s="1"/>
  <c r="AA107"/>
  <c r="AA127" s="1"/>
  <c r="AA147" s="1"/>
  <c r="AA167" s="1"/>
  <c r="AA187" s="1"/>
  <c r="AA207" s="1"/>
  <c r="AA227" s="1"/>
  <c r="AA247" s="1"/>
  <c r="AA267" s="1"/>
  <c r="AA287" s="1"/>
  <c r="AA307" s="1"/>
  <c r="AA327" s="1"/>
  <c r="AA347" s="1"/>
  <c r="AA367" s="1"/>
  <c r="AA387" s="1"/>
  <c r="AA407" s="1"/>
  <c r="AA427" s="1"/>
  <c r="AA447" s="1"/>
  <c r="AA467" s="1"/>
  <c r="AA487" s="1"/>
  <c r="AA507" s="1"/>
  <c r="AA527" s="1"/>
  <c r="AA547" s="1"/>
  <c r="AA567" s="1"/>
  <c r="AA587" s="1"/>
  <c r="AA607" s="1"/>
  <c r="AA627" s="1"/>
  <c r="AA647" s="1"/>
  <c r="AA667" s="1"/>
  <c r="AA687" s="1"/>
  <c r="AA707" s="1"/>
  <c r="AA727" s="1"/>
  <c r="AA747" s="1"/>
  <c r="AA767" s="1"/>
  <c r="AA787" s="1"/>
  <c r="AA807" s="1"/>
  <c r="AA827" s="1"/>
  <c r="AA847" s="1"/>
  <c r="AA867" s="1"/>
  <c r="AA887" s="1"/>
  <c r="AA907" s="1"/>
  <c r="AA927" s="1"/>
  <c r="AA947" s="1"/>
  <c r="AA967" s="1"/>
  <c r="AA987" s="1"/>
  <c r="B107"/>
  <c r="X77"/>
  <c r="I76"/>
  <c r="R230"/>
  <c r="Q209"/>
  <c r="K75"/>
  <c r="M74"/>
  <c r="N74" s="1"/>
  <c r="AD73"/>
  <c r="P73"/>
  <c r="J145"/>
  <c r="K104"/>
  <c r="M103"/>
  <c r="N103" s="1"/>
  <c r="P102"/>
  <c r="AA220"/>
  <c r="J126"/>
  <c r="J107"/>
  <c r="B221"/>
  <c r="J164"/>
  <c r="J183"/>
  <c r="B220"/>
  <c r="C122" i="10" l="1"/>
  <c r="J121"/>
  <c r="H121"/>
  <c r="F122"/>
  <c r="I122" s="1"/>
  <c r="K120"/>
  <c r="B54"/>
  <c r="G50"/>
  <c r="E53"/>
  <c r="A52"/>
  <c r="D51"/>
  <c r="L51" s="1"/>
  <c r="O103" i="1"/>
  <c r="O74"/>
  <c r="I106"/>
  <c r="B127"/>
  <c r="B147" s="1"/>
  <c r="B167" s="1"/>
  <c r="B187" s="1"/>
  <c r="B207" s="1"/>
  <c r="B227" s="1"/>
  <c r="B247" s="1"/>
  <c r="B267" s="1"/>
  <c r="B287" s="1"/>
  <c r="B307" s="1"/>
  <c r="B327" s="1"/>
  <c r="B347" s="1"/>
  <c r="B367" s="1"/>
  <c r="B387" s="1"/>
  <c r="B407" s="1"/>
  <c r="B427" s="1"/>
  <c r="B447" s="1"/>
  <c r="B467" s="1"/>
  <c r="B487" s="1"/>
  <c r="B507" s="1"/>
  <c r="B527" s="1"/>
  <c r="B547" s="1"/>
  <c r="B567" s="1"/>
  <c r="B587" s="1"/>
  <c r="B607" s="1"/>
  <c r="B627" s="1"/>
  <c r="B647" s="1"/>
  <c r="B667" s="1"/>
  <c r="B687" s="1"/>
  <c r="B707" s="1"/>
  <c r="B727" s="1"/>
  <c r="B747" s="1"/>
  <c r="B767" s="1"/>
  <c r="B787" s="1"/>
  <c r="B807" s="1"/>
  <c r="B827" s="1"/>
  <c r="B847" s="1"/>
  <c r="B867" s="1"/>
  <c r="B887" s="1"/>
  <c r="B907" s="1"/>
  <c r="B927" s="1"/>
  <c r="B947" s="1"/>
  <c r="B967" s="1"/>
  <c r="B987" s="1"/>
  <c r="B88" s="1"/>
  <c r="C107"/>
  <c r="X107" s="1"/>
  <c r="B36"/>
  <c r="AA108"/>
  <c r="AA128" s="1"/>
  <c r="AA148" s="1"/>
  <c r="AA168" s="1"/>
  <c r="AA188" s="1"/>
  <c r="AA208" s="1"/>
  <c r="AA228" s="1"/>
  <c r="AA248" s="1"/>
  <c r="AA268" s="1"/>
  <c r="AA288" s="1"/>
  <c r="AA308" s="1"/>
  <c r="AA328" s="1"/>
  <c r="AA348" s="1"/>
  <c r="AA368" s="1"/>
  <c r="AA388" s="1"/>
  <c r="AA408" s="1"/>
  <c r="AA428" s="1"/>
  <c r="AA448" s="1"/>
  <c r="AA468" s="1"/>
  <c r="AA488" s="1"/>
  <c r="AA508" s="1"/>
  <c r="AA528" s="1"/>
  <c r="AA548" s="1"/>
  <c r="AA568" s="1"/>
  <c r="AA588" s="1"/>
  <c r="AA608" s="1"/>
  <c r="AA628" s="1"/>
  <c r="AA648" s="1"/>
  <c r="AA668" s="1"/>
  <c r="AA688" s="1"/>
  <c r="AA708" s="1"/>
  <c r="AA728" s="1"/>
  <c r="AA748" s="1"/>
  <c r="AA768" s="1"/>
  <c r="AA788" s="1"/>
  <c r="AA808" s="1"/>
  <c r="AA828" s="1"/>
  <c r="AA848" s="1"/>
  <c r="AA868" s="1"/>
  <c r="AA888" s="1"/>
  <c r="AA908" s="1"/>
  <c r="AA928" s="1"/>
  <c r="AA948" s="1"/>
  <c r="AA968" s="1"/>
  <c r="AA988" s="1"/>
  <c r="B108"/>
  <c r="X78"/>
  <c r="I77"/>
  <c r="R250"/>
  <c r="Q229"/>
  <c r="K76"/>
  <c r="M75"/>
  <c r="N75" s="1"/>
  <c r="P74"/>
  <c r="J127"/>
  <c r="P103"/>
  <c r="J165"/>
  <c r="B240"/>
  <c r="J203"/>
  <c r="J184"/>
  <c r="B241"/>
  <c r="J108"/>
  <c r="J146"/>
  <c r="AA240"/>
  <c r="M104"/>
  <c r="N104" s="1"/>
  <c r="K105"/>
  <c r="K121" i="10" l="1"/>
  <c r="C123"/>
  <c r="J122"/>
  <c r="H122"/>
  <c r="F123"/>
  <c r="I123" s="1"/>
  <c r="B55"/>
  <c r="G51"/>
  <c r="E54"/>
  <c r="A53"/>
  <c r="D52"/>
  <c r="L52" s="1"/>
  <c r="O104" i="1"/>
  <c r="O75"/>
  <c r="AD74"/>
  <c r="I107"/>
  <c r="B128"/>
  <c r="B148" s="1"/>
  <c r="B168" s="1"/>
  <c r="B188" s="1"/>
  <c r="B208" s="1"/>
  <c r="B228" s="1"/>
  <c r="B248" s="1"/>
  <c r="B268" s="1"/>
  <c r="B288" s="1"/>
  <c r="B308" s="1"/>
  <c r="B328" s="1"/>
  <c r="B348" s="1"/>
  <c r="B368" s="1"/>
  <c r="B388" s="1"/>
  <c r="B408" s="1"/>
  <c r="B428" s="1"/>
  <c r="B448" s="1"/>
  <c r="B468" s="1"/>
  <c r="B488" s="1"/>
  <c r="B508" s="1"/>
  <c r="B528" s="1"/>
  <c r="B548" s="1"/>
  <c r="B568" s="1"/>
  <c r="B588" s="1"/>
  <c r="B608" s="1"/>
  <c r="B628" s="1"/>
  <c r="B648" s="1"/>
  <c r="B668" s="1"/>
  <c r="B688" s="1"/>
  <c r="B708" s="1"/>
  <c r="B728" s="1"/>
  <c r="B748" s="1"/>
  <c r="B768" s="1"/>
  <c r="B788" s="1"/>
  <c r="B808" s="1"/>
  <c r="B828" s="1"/>
  <c r="B848" s="1"/>
  <c r="B868" s="1"/>
  <c r="B888" s="1"/>
  <c r="B908" s="1"/>
  <c r="B928" s="1"/>
  <c r="B948" s="1"/>
  <c r="B968" s="1"/>
  <c r="B988" s="1"/>
  <c r="B89" s="1"/>
  <c r="C108"/>
  <c r="X108" s="1"/>
  <c r="AA109"/>
  <c r="B109"/>
  <c r="X79"/>
  <c r="I78"/>
  <c r="R270"/>
  <c r="Q249"/>
  <c r="K77"/>
  <c r="M76"/>
  <c r="N76" s="1"/>
  <c r="P75"/>
  <c r="K106"/>
  <c r="M105"/>
  <c r="N105" s="1"/>
  <c r="AA260"/>
  <c r="J166"/>
  <c r="J128"/>
  <c r="B261"/>
  <c r="J223"/>
  <c r="J185"/>
  <c r="J147"/>
  <c r="P104"/>
  <c r="J109"/>
  <c r="J204"/>
  <c r="B260"/>
  <c r="C124" i="10" l="1"/>
  <c r="J123"/>
  <c r="H123"/>
  <c r="F124"/>
  <c r="I124" s="1"/>
  <c r="K122"/>
  <c r="AA129" i="1"/>
  <c r="AA149" s="1"/>
  <c r="AA169" s="1"/>
  <c r="AA189" s="1"/>
  <c r="AA209" s="1"/>
  <c r="AA229" s="1"/>
  <c r="AA249" s="1"/>
  <c r="AA269" s="1"/>
  <c r="AA289" s="1"/>
  <c r="AA309" s="1"/>
  <c r="AA329" s="1"/>
  <c r="AA349" s="1"/>
  <c r="AA369" s="1"/>
  <c r="AA389" s="1"/>
  <c r="AA409" s="1"/>
  <c r="AA429" s="1"/>
  <c r="AA449" s="1"/>
  <c r="AA469" s="1"/>
  <c r="AA489" s="1"/>
  <c r="AA509" s="1"/>
  <c r="AA529" s="1"/>
  <c r="AA549" s="1"/>
  <c r="AA569" s="1"/>
  <c r="AA589" s="1"/>
  <c r="AA609" s="1"/>
  <c r="AA629" s="1"/>
  <c r="AA649" s="1"/>
  <c r="AA669" s="1"/>
  <c r="AA689" s="1"/>
  <c r="AA709" s="1"/>
  <c r="AA729" s="1"/>
  <c r="AA749" s="1"/>
  <c r="AA769" s="1"/>
  <c r="AA789" s="1"/>
  <c r="AA809" s="1"/>
  <c r="AA829" s="1"/>
  <c r="AA849" s="1"/>
  <c r="AA869" s="1"/>
  <c r="AA889" s="1"/>
  <c r="AA909" s="1"/>
  <c r="AA929" s="1"/>
  <c r="AA949" s="1"/>
  <c r="AA969" s="1"/>
  <c r="AA989" s="1"/>
  <c r="AD75"/>
  <c r="B56" i="10"/>
  <c r="E55"/>
  <c r="G52"/>
  <c r="A54"/>
  <c r="D53"/>
  <c r="L53" s="1"/>
  <c r="O105" i="1"/>
  <c r="O76"/>
  <c r="I108"/>
  <c r="B129"/>
  <c r="B149" s="1"/>
  <c r="B169" s="1"/>
  <c r="B189" s="1"/>
  <c r="B209" s="1"/>
  <c r="B229" s="1"/>
  <c r="B249" s="1"/>
  <c r="B269" s="1"/>
  <c r="B289" s="1"/>
  <c r="B309" s="1"/>
  <c r="B329" s="1"/>
  <c r="B349" s="1"/>
  <c r="B369" s="1"/>
  <c r="B389" s="1"/>
  <c r="B409" s="1"/>
  <c r="B429" s="1"/>
  <c r="B449" s="1"/>
  <c r="B469" s="1"/>
  <c r="B489" s="1"/>
  <c r="B509" s="1"/>
  <c r="B529" s="1"/>
  <c r="B549" s="1"/>
  <c r="B569" s="1"/>
  <c r="B589" s="1"/>
  <c r="B609" s="1"/>
  <c r="B629" s="1"/>
  <c r="B649" s="1"/>
  <c r="B669" s="1"/>
  <c r="B689" s="1"/>
  <c r="B709" s="1"/>
  <c r="B729" s="1"/>
  <c r="B749" s="1"/>
  <c r="B769" s="1"/>
  <c r="B789" s="1"/>
  <c r="B809" s="1"/>
  <c r="B829" s="1"/>
  <c r="B849" s="1"/>
  <c r="B869" s="1"/>
  <c r="B889" s="1"/>
  <c r="B909" s="1"/>
  <c r="B929" s="1"/>
  <c r="B949" s="1"/>
  <c r="B969" s="1"/>
  <c r="B989" s="1"/>
  <c r="B90" s="1"/>
  <c r="C109"/>
  <c r="X109" s="1"/>
  <c r="I79"/>
  <c r="R290"/>
  <c r="Q269"/>
  <c r="M77"/>
  <c r="N77" s="1"/>
  <c r="K78"/>
  <c r="P76"/>
  <c r="J224"/>
  <c r="J167"/>
  <c r="J205"/>
  <c r="J243"/>
  <c r="B281"/>
  <c r="J148"/>
  <c r="M106"/>
  <c r="N106" s="1"/>
  <c r="K107"/>
  <c r="B280"/>
  <c r="J129"/>
  <c r="J186"/>
  <c r="AA280"/>
  <c r="P105"/>
  <c r="K123" i="10" l="1"/>
  <c r="C125"/>
  <c r="F125" s="1"/>
  <c r="I125" s="1"/>
  <c r="J124"/>
  <c r="H124"/>
  <c r="AD76" i="1"/>
  <c r="B57" i="10"/>
  <c r="E56"/>
  <c r="G53"/>
  <c r="A55"/>
  <c r="D54"/>
  <c r="L54" s="1"/>
  <c r="O106" i="1"/>
  <c r="O77"/>
  <c r="I109"/>
  <c r="R310"/>
  <c r="Q289"/>
  <c r="P77"/>
  <c r="K79"/>
  <c r="M79" s="1"/>
  <c r="N79" s="1"/>
  <c r="M78"/>
  <c r="N78" s="1"/>
  <c r="AA300"/>
  <c r="J206"/>
  <c r="J149"/>
  <c r="K108"/>
  <c r="M107"/>
  <c r="N107" s="1"/>
  <c r="P106"/>
  <c r="J168"/>
  <c r="J263"/>
  <c r="J187"/>
  <c r="B300"/>
  <c r="B301"/>
  <c r="J225"/>
  <c r="J244"/>
  <c r="C126" i="10" l="1"/>
  <c r="J125"/>
  <c r="H125"/>
  <c r="F126"/>
  <c r="I126" s="1"/>
  <c r="K124"/>
  <c r="G37" i="1"/>
  <c r="AD77"/>
  <c r="B58" i="10"/>
  <c r="G54"/>
  <c r="E57"/>
  <c r="A56"/>
  <c r="D55"/>
  <c r="L55" s="1"/>
  <c r="O78" i="1"/>
  <c r="O107"/>
  <c r="O79"/>
  <c r="S79" s="1"/>
  <c r="P79"/>
  <c r="R330"/>
  <c r="Q309"/>
  <c r="P78"/>
  <c r="J264"/>
  <c r="J245"/>
  <c r="B321"/>
  <c r="J188"/>
  <c r="M108"/>
  <c r="N108" s="1"/>
  <c r="K109"/>
  <c r="J226"/>
  <c r="B320"/>
  <c r="J207"/>
  <c r="J283"/>
  <c r="P107"/>
  <c r="J169"/>
  <c r="AA320"/>
  <c r="K125" i="10" l="1"/>
  <c r="C127"/>
  <c r="J126"/>
  <c r="H126"/>
  <c r="F127"/>
  <c r="I127" s="1"/>
  <c r="AD78" i="1"/>
  <c r="AD79" s="1"/>
  <c r="R79"/>
  <c r="E79" s="1"/>
  <c r="D79" s="1"/>
  <c r="B59" i="10"/>
  <c r="G55"/>
  <c r="E58"/>
  <c r="A57"/>
  <c r="D56"/>
  <c r="L56" s="1"/>
  <c r="O108" i="1"/>
  <c r="R350"/>
  <c r="Q329"/>
  <c r="J303"/>
  <c r="J189"/>
  <c r="J227"/>
  <c r="J246"/>
  <c r="M109"/>
  <c r="N109" s="1"/>
  <c r="P108"/>
  <c r="J208"/>
  <c r="J265"/>
  <c r="AA340"/>
  <c r="B340"/>
  <c r="B341"/>
  <c r="J284"/>
  <c r="C128" i="10" l="1"/>
  <c r="F128" s="1"/>
  <c r="I128" s="1"/>
  <c r="J127"/>
  <c r="H127"/>
  <c r="K126"/>
  <c r="Q78" i="1"/>
  <c r="R78" s="1"/>
  <c r="B60" i="10"/>
  <c r="E59"/>
  <c r="G56"/>
  <c r="A58"/>
  <c r="D57"/>
  <c r="L57" s="1"/>
  <c r="O109" i="1"/>
  <c r="Y79"/>
  <c r="AC79" s="1"/>
  <c r="Q349"/>
  <c r="R370"/>
  <c r="J304"/>
  <c r="G79"/>
  <c r="H79"/>
  <c r="B361"/>
  <c r="AA360"/>
  <c r="J285"/>
  <c r="J228"/>
  <c r="P109"/>
  <c r="P111" s="1"/>
  <c r="N110"/>
  <c r="N111" s="1"/>
  <c r="B360"/>
  <c r="J266"/>
  <c r="J247"/>
  <c r="J209"/>
  <c r="J323"/>
  <c r="K127" i="10" l="1"/>
  <c r="C129"/>
  <c r="J128"/>
  <c r="H128"/>
  <c r="F129"/>
  <c r="I129" s="1"/>
  <c r="S78" i="1"/>
  <c r="B61" i="10"/>
  <c r="E60"/>
  <c r="G57"/>
  <c r="A59"/>
  <c r="D58"/>
  <c r="L58" s="1"/>
  <c r="AB79" i="1"/>
  <c r="Y78"/>
  <c r="Z78" s="1"/>
  <c r="Z79"/>
  <c r="R390"/>
  <c r="Q369"/>
  <c r="J229"/>
  <c r="Q77"/>
  <c r="E78"/>
  <c r="D78" s="1"/>
  <c r="Y110"/>
  <c r="Y109" s="1"/>
  <c r="AD109" s="1"/>
  <c r="AC100"/>
  <c r="AC101" s="1"/>
  <c r="AC102" s="1"/>
  <c r="AC103" s="1"/>
  <c r="AC104" s="1"/>
  <c r="AC105" s="1"/>
  <c r="AC106" s="1"/>
  <c r="AC107" s="1"/>
  <c r="AC108" s="1"/>
  <c r="AC109" s="1"/>
  <c r="AE111"/>
  <c r="AE110" s="1"/>
  <c r="AE109" s="1"/>
  <c r="AE108" s="1"/>
  <c r="AE107" s="1"/>
  <c r="AE106" s="1"/>
  <c r="AE105" s="1"/>
  <c r="AE104" s="1"/>
  <c r="AE103" s="1"/>
  <c r="AE102" s="1"/>
  <c r="AE101" s="1"/>
  <c r="AE100" s="1"/>
  <c r="J248"/>
  <c r="J305"/>
  <c r="J343"/>
  <c r="J267"/>
  <c r="J286"/>
  <c r="B380"/>
  <c r="R109"/>
  <c r="S109"/>
  <c r="AA380"/>
  <c r="B381"/>
  <c r="J324"/>
  <c r="C130" i="10" l="1"/>
  <c r="J129"/>
  <c r="H129"/>
  <c r="F130"/>
  <c r="I130" s="1"/>
  <c r="K128"/>
  <c r="B62"/>
  <c r="E61"/>
  <c r="G58"/>
  <c r="A60"/>
  <c r="D59"/>
  <c r="L59" s="1"/>
  <c r="AC78" i="1"/>
  <c r="Y77"/>
  <c r="AB78"/>
  <c r="R410"/>
  <c r="Q389"/>
  <c r="J344"/>
  <c r="J306"/>
  <c r="B401"/>
  <c r="B400"/>
  <c r="J363"/>
  <c r="J325"/>
  <c r="J268"/>
  <c r="G78"/>
  <c r="H78"/>
  <c r="AA400"/>
  <c r="E109"/>
  <c r="D109" s="1"/>
  <c r="Q108"/>
  <c r="J287"/>
  <c r="Z109"/>
  <c r="Y108"/>
  <c r="AD108" s="1"/>
  <c r="R77"/>
  <c r="S77"/>
  <c r="J249"/>
  <c r="K129" i="10" l="1"/>
  <c r="C131"/>
  <c r="J130"/>
  <c r="H130"/>
  <c r="F131"/>
  <c r="I131" s="1"/>
  <c r="B63"/>
  <c r="G59"/>
  <c r="E62"/>
  <c r="A61"/>
  <c r="D60"/>
  <c r="L60" s="1"/>
  <c r="Y76" i="1"/>
  <c r="AB76" s="1"/>
  <c r="AC77"/>
  <c r="Z77"/>
  <c r="AB77"/>
  <c r="R430"/>
  <c r="Q409"/>
  <c r="E77"/>
  <c r="D77" s="1"/>
  <c r="Q76"/>
  <c r="R108"/>
  <c r="S108"/>
  <c r="AA420"/>
  <c r="J269"/>
  <c r="Z108"/>
  <c r="Y107"/>
  <c r="AD107" s="1"/>
  <c r="J307"/>
  <c r="H109"/>
  <c r="G109"/>
  <c r="J383"/>
  <c r="B421"/>
  <c r="J326"/>
  <c r="J288"/>
  <c r="J345"/>
  <c r="B420"/>
  <c r="J364"/>
  <c r="C132" i="10" l="1"/>
  <c r="J131"/>
  <c r="H131"/>
  <c r="F132"/>
  <c r="I132" s="1"/>
  <c r="K130"/>
  <c r="B64"/>
  <c r="G60"/>
  <c r="E63"/>
  <c r="A62"/>
  <c r="D61"/>
  <c r="L61" s="1"/>
  <c r="Y75" i="1"/>
  <c r="AB75" s="1"/>
  <c r="AC76"/>
  <c r="Z76"/>
  <c r="R450"/>
  <c r="Q429"/>
  <c r="J384"/>
  <c r="J365"/>
  <c r="J346"/>
  <c r="J327"/>
  <c r="Z107"/>
  <c r="Y106"/>
  <c r="AD106" s="1"/>
  <c r="E108"/>
  <c r="D108" s="1"/>
  <c r="Q107"/>
  <c r="H77"/>
  <c r="G77"/>
  <c r="B440"/>
  <c r="J308"/>
  <c r="B441"/>
  <c r="J403"/>
  <c r="J289"/>
  <c r="AA440"/>
  <c r="R76"/>
  <c r="S76"/>
  <c r="K131" i="10" l="1"/>
  <c r="C133"/>
  <c r="J132"/>
  <c r="H132"/>
  <c r="F133"/>
  <c r="I133" s="1"/>
  <c r="B65"/>
  <c r="E64"/>
  <c r="G61"/>
  <c r="A63"/>
  <c r="D62"/>
  <c r="L62" s="1"/>
  <c r="AC75" i="1"/>
  <c r="Y74"/>
  <c r="AC74" s="1"/>
  <c r="Z75"/>
  <c r="R470"/>
  <c r="Q449"/>
  <c r="Q75"/>
  <c r="E76"/>
  <c r="D76" s="1"/>
  <c r="J423"/>
  <c r="H108"/>
  <c r="G108"/>
  <c r="J366"/>
  <c r="AA460"/>
  <c r="J309"/>
  <c r="B461"/>
  <c r="J328"/>
  <c r="B460"/>
  <c r="R107"/>
  <c r="S107"/>
  <c r="Z106"/>
  <c r="Y105"/>
  <c r="AD105" s="1"/>
  <c r="J347"/>
  <c r="J385"/>
  <c r="J404"/>
  <c r="C134" i="10" l="1"/>
  <c r="J133"/>
  <c r="H133"/>
  <c r="F134"/>
  <c r="I134" s="1"/>
  <c r="K132"/>
  <c r="B66"/>
  <c r="E65"/>
  <c r="G62"/>
  <c r="A64"/>
  <c r="D63"/>
  <c r="L63" s="1"/>
  <c r="Z74" i="1"/>
  <c r="AB74"/>
  <c r="Y73"/>
  <c r="AB73" s="1"/>
  <c r="R490"/>
  <c r="Q469"/>
  <c r="J424"/>
  <c r="J405"/>
  <c r="J367"/>
  <c r="E107"/>
  <c r="D107" s="1"/>
  <c r="Q106"/>
  <c r="J348"/>
  <c r="R75"/>
  <c r="S75"/>
  <c r="Z105"/>
  <c r="Y104"/>
  <c r="AD104" s="1"/>
  <c r="B480"/>
  <c r="B481"/>
  <c r="J329"/>
  <c r="AA480"/>
  <c r="J386"/>
  <c r="J443"/>
  <c r="G76"/>
  <c r="H76"/>
  <c r="K133" i="10" l="1"/>
  <c r="C135"/>
  <c r="J134"/>
  <c r="H134"/>
  <c r="F135"/>
  <c r="I135" s="1"/>
  <c r="B67"/>
  <c r="G63"/>
  <c r="E66"/>
  <c r="A65"/>
  <c r="D64"/>
  <c r="L64" s="1"/>
  <c r="Y72" i="1"/>
  <c r="AB72" s="1"/>
  <c r="Z73"/>
  <c r="AC73"/>
  <c r="R510"/>
  <c r="Q489"/>
  <c r="J463"/>
  <c r="J406"/>
  <c r="AA500"/>
  <c r="J349"/>
  <c r="B500"/>
  <c r="Q74"/>
  <c r="E75"/>
  <c r="D75" s="1"/>
  <c r="R106"/>
  <c r="S106"/>
  <c r="J387"/>
  <c r="B501"/>
  <c r="Z104"/>
  <c r="Y103"/>
  <c r="AD103" s="1"/>
  <c r="J368"/>
  <c r="H107"/>
  <c r="G107"/>
  <c r="J425"/>
  <c r="J444"/>
  <c r="C136" i="10" l="1"/>
  <c r="J135"/>
  <c r="H135"/>
  <c r="F136"/>
  <c r="I136" s="1"/>
  <c r="K134"/>
  <c r="B68"/>
  <c r="G64"/>
  <c r="E67"/>
  <c r="D65"/>
  <c r="L65" s="1"/>
  <c r="A66"/>
  <c r="Z72" i="1"/>
  <c r="Y71"/>
  <c r="Z71" s="1"/>
  <c r="AC72"/>
  <c r="R530"/>
  <c r="Q509"/>
  <c r="J464"/>
  <c r="J445"/>
  <c r="J388"/>
  <c r="E106"/>
  <c r="D106" s="1"/>
  <c r="Q105"/>
  <c r="R74"/>
  <c r="S74"/>
  <c r="J369"/>
  <c r="Z103"/>
  <c r="Y102"/>
  <c r="AD102" s="1"/>
  <c r="B521"/>
  <c r="J407"/>
  <c r="G75"/>
  <c r="H75"/>
  <c r="B520"/>
  <c r="AA520"/>
  <c r="J426"/>
  <c r="J483"/>
  <c r="K135" i="10" l="1"/>
  <c r="C137"/>
  <c r="J136"/>
  <c r="H136"/>
  <c r="F137"/>
  <c r="I137" s="1"/>
  <c r="B69"/>
  <c r="E68"/>
  <c r="G65"/>
  <c r="A67"/>
  <c r="D66"/>
  <c r="L66" s="1"/>
  <c r="AB71" i="1"/>
  <c r="Y70"/>
  <c r="Z70" s="1"/>
  <c r="AC71"/>
  <c r="R550"/>
  <c r="Q529"/>
  <c r="J503"/>
  <c r="J446"/>
  <c r="AA540"/>
  <c r="B540"/>
  <c r="B541"/>
  <c r="J389"/>
  <c r="R105"/>
  <c r="S105"/>
  <c r="J427"/>
  <c r="Z102"/>
  <c r="Y101"/>
  <c r="AD101" s="1"/>
  <c r="E74"/>
  <c r="D74" s="1"/>
  <c r="Q73"/>
  <c r="H106"/>
  <c r="G106"/>
  <c r="J408"/>
  <c r="J465"/>
  <c r="J484"/>
  <c r="C138" i="10" l="1"/>
  <c r="J137"/>
  <c r="H137"/>
  <c r="F138"/>
  <c r="I138" s="1"/>
  <c r="K136"/>
  <c r="B70"/>
  <c r="G66"/>
  <c r="E69"/>
  <c r="A68"/>
  <c r="D67"/>
  <c r="L67" s="1"/>
  <c r="AB70" i="1"/>
  <c r="AC70"/>
  <c r="R570"/>
  <c r="Q549"/>
  <c r="R73"/>
  <c r="S73"/>
  <c r="Z101"/>
  <c r="Y100"/>
  <c r="B560"/>
  <c r="J504"/>
  <c r="J485"/>
  <c r="J428"/>
  <c r="H74"/>
  <c r="G74"/>
  <c r="J447"/>
  <c r="E105"/>
  <c r="D105" s="1"/>
  <c r="Q104"/>
  <c r="J409"/>
  <c r="B561"/>
  <c r="AA560"/>
  <c r="J466"/>
  <c r="J523"/>
  <c r="K137" i="10" l="1"/>
  <c r="C139"/>
  <c r="J138"/>
  <c r="H138"/>
  <c r="F139"/>
  <c r="I139" s="1"/>
  <c r="Z100" i="1"/>
  <c r="AD100"/>
  <c r="B71" i="10"/>
  <c r="E70"/>
  <c r="G67"/>
  <c r="A69"/>
  <c r="D68"/>
  <c r="L68" s="1"/>
  <c r="R590" i="1"/>
  <c r="Q569"/>
  <c r="J429"/>
  <c r="J543"/>
  <c r="J486"/>
  <c r="AA580"/>
  <c r="B581"/>
  <c r="R104"/>
  <c r="S104"/>
  <c r="J467"/>
  <c r="J448"/>
  <c r="J505"/>
  <c r="J524"/>
  <c r="Q72"/>
  <c r="E73"/>
  <c r="D73" s="1"/>
  <c r="H105"/>
  <c r="G105"/>
  <c r="B580"/>
  <c r="C140" i="10" l="1"/>
  <c r="J139"/>
  <c r="H139"/>
  <c r="F140"/>
  <c r="I140" s="1"/>
  <c r="K138"/>
  <c r="B72"/>
  <c r="E71"/>
  <c r="G68"/>
  <c r="A70"/>
  <c r="D69"/>
  <c r="L69" s="1"/>
  <c r="R610" i="1"/>
  <c r="Q589"/>
  <c r="J544"/>
  <c r="B600"/>
  <c r="R72"/>
  <c r="S72"/>
  <c r="E104"/>
  <c r="D104" s="1"/>
  <c r="Q103"/>
  <c r="AA600"/>
  <c r="J506"/>
  <c r="J563"/>
  <c r="G73"/>
  <c r="H73"/>
  <c r="J525"/>
  <c r="J468"/>
  <c r="J487"/>
  <c r="B601"/>
  <c r="J449"/>
  <c r="K139" i="10" l="1"/>
  <c r="C141"/>
  <c r="J140"/>
  <c r="H140"/>
  <c r="F141"/>
  <c r="I141" s="1"/>
  <c r="B73"/>
  <c r="E72"/>
  <c r="G69"/>
  <c r="A71"/>
  <c r="D70"/>
  <c r="L70" s="1"/>
  <c r="R630" i="1"/>
  <c r="Q609"/>
  <c r="B621"/>
  <c r="J469"/>
  <c r="J507"/>
  <c r="J488"/>
  <c r="J545"/>
  <c r="J583"/>
  <c r="J526"/>
  <c r="AA620"/>
  <c r="R103"/>
  <c r="S103"/>
  <c r="E72"/>
  <c r="D72" s="1"/>
  <c r="Q71"/>
  <c r="H104"/>
  <c r="G104"/>
  <c r="B620"/>
  <c r="J564"/>
  <c r="C142" i="10" l="1"/>
  <c r="J141"/>
  <c r="H141"/>
  <c r="F142"/>
  <c r="I142" s="1"/>
  <c r="K140"/>
  <c r="B74"/>
  <c r="G70"/>
  <c r="E73"/>
  <c r="A72"/>
  <c r="D71"/>
  <c r="L71" s="1"/>
  <c r="R650" i="1"/>
  <c r="Q629"/>
  <c r="E103"/>
  <c r="D103" s="1"/>
  <c r="Q102"/>
  <c r="B640"/>
  <c r="R71"/>
  <c r="S71"/>
  <c r="AA640"/>
  <c r="J546"/>
  <c r="J603"/>
  <c r="J489"/>
  <c r="B641"/>
  <c r="J584"/>
  <c r="H72"/>
  <c r="G72"/>
  <c r="J565"/>
  <c r="J508"/>
  <c r="J527"/>
  <c r="K141" i="10" l="1"/>
  <c r="C143"/>
  <c r="J142"/>
  <c r="H142"/>
  <c r="F143"/>
  <c r="I143" s="1"/>
  <c r="B75"/>
  <c r="G71"/>
  <c r="E74"/>
  <c r="A73"/>
  <c r="D72"/>
  <c r="L72" s="1"/>
  <c r="R670" i="1"/>
  <c r="Q649"/>
  <c r="J509"/>
  <c r="B660"/>
  <c r="H103"/>
  <c r="G103"/>
  <c r="J547"/>
  <c r="J528"/>
  <c r="J585"/>
  <c r="J604"/>
  <c r="B661"/>
  <c r="J623"/>
  <c r="J566"/>
  <c r="AA660"/>
  <c r="Q70"/>
  <c r="E71"/>
  <c r="D71" s="1"/>
  <c r="R102"/>
  <c r="S102"/>
  <c r="J143" i="10" l="1"/>
  <c r="H143"/>
  <c r="K142"/>
  <c r="B76"/>
  <c r="E75"/>
  <c r="G72"/>
  <c r="A74"/>
  <c r="D73"/>
  <c r="L73" s="1"/>
  <c r="R690" i="1"/>
  <c r="Q669"/>
  <c r="G71"/>
  <c r="H71"/>
  <c r="AA680"/>
  <c r="J586"/>
  <c r="E102"/>
  <c r="D102" s="1"/>
  <c r="Q101"/>
  <c r="R70"/>
  <c r="E70" s="1"/>
  <c r="D70" s="1"/>
  <c r="S70"/>
  <c r="J624"/>
  <c r="J605"/>
  <c r="J548"/>
  <c r="J567"/>
  <c r="J643"/>
  <c r="B681"/>
  <c r="B680"/>
  <c r="J529"/>
  <c r="K143" i="10" l="1"/>
  <c r="B77"/>
  <c r="E76"/>
  <c r="G73"/>
  <c r="A75"/>
  <c r="D74"/>
  <c r="L74" s="1"/>
  <c r="G70" i="1"/>
  <c r="R710"/>
  <c r="Q689"/>
  <c r="B700"/>
  <c r="J663"/>
  <c r="R101"/>
  <c r="S101"/>
  <c r="J549"/>
  <c r="B701"/>
  <c r="J587"/>
  <c r="J568"/>
  <c r="J625"/>
  <c r="J644"/>
  <c r="H102"/>
  <c r="G102"/>
  <c r="J606"/>
  <c r="AA700"/>
  <c r="B78" i="10" l="1"/>
  <c r="G74"/>
  <c r="E77"/>
  <c r="A76"/>
  <c r="D75"/>
  <c r="L75" s="1"/>
  <c r="H70" i="1"/>
  <c r="T70" s="1"/>
  <c r="V70" s="1"/>
  <c r="W70" s="1"/>
  <c r="AH70" s="1"/>
  <c r="R730"/>
  <c r="Q709"/>
  <c r="J626"/>
  <c r="J664"/>
  <c r="J645"/>
  <c r="J588"/>
  <c r="J607"/>
  <c r="B721"/>
  <c r="J569"/>
  <c r="E101"/>
  <c r="D101" s="1"/>
  <c r="Q100"/>
  <c r="B720"/>
  <c r="AA720"/>
  <c r="J683"/>
  <c r="B79" i="10" l="1"/>
  <c r="G75"/>
  <c r="E78"/>
  <c r="A77"/>
  <c r="D76"/>
  <c r="L76" s="1"/>
  <c r="U70" i="1"/>
  <c r="T71" s="1"/>
  <c r="R750"/>
  <c r="Q729"/>
  <c r="J703"/>
  <c r="AA740"/>
  <c r="B740"/>
  <c r="H101"/>
  <c r="G101"/>
  <c r="B741"/>
  <c r="J684"/>
  <c r="R100"/>
  <c r="E100" s="1"/>
  <c r="D100" s="1"/>
  <c r="S100"/>
  <c r="J589"/>
  <c r="J627"/>
  <c r="J608"/>
  <c r="J665"/>
  <c r="J646"/>
  <c r="B80" i="10" l="1"/>
  <c r="E79"/>
  <c r="G76"/>
  <c r="A78"/>
  <c r="D77"/>
  <c r="L77" s="1"/>
  <c r="U71" i="1"/>
  <c r="T72" s="1"/>
  <c r="V71"/>
  <c r="W71" s="1"/>
  <c r="AH71" s="1"/>
  <c r="R770"/>
  <c r="Q749"/>
  <c r="J685"/>
  <c r="J609"/>
  <c r="B761"/>
  <c r="AA760"/>
  <c r="J666"/>
  <c r="J628"/>
  <c r="J647"/>
  <c r="H100"/>
  <c r="T100" s="1"/>
  <c r="G100"/>
  <c r="J704"/>
  <c r="B760"/>
  <c r="J723"/>
  <c r="B81" i="10" l="1"/>
  <c r="E80"/>
  <c r="G77"/>
  <c r="A79"/>
  <c r="D78"/>
  <c r="L78" s="1"/>
  <c r="U72" i="1"/>
  <c r="T73" s="1"/>
  <c r="V72"/>
  <c r="W72" s="1"/>
  <c r="AH72" s="1"/>
  <c r="R790"/>
  <c r="Q769"/>
  <c r="J743"/>
  <c r="B780"/>
  <c r="J724"/>
  <c r="J667"/>
  <c r="J648"/>
  <c r="J686"/>
  <c r="J705"/>
  <c r="U100"/>
  <c r="T101" s="1"/>
  <c r="V100"/>
  <c r="W100" s="1"/>
  <c r="AB100" s="1"/>
  <c r="AA780"/>
  <c r="B781"/>
  <c r="J629"/>
  <c r="B82" i="10" l="1"/>
  <c r="G78"/>
  <c r="E81"/>
  <c r="A80"/>
  <c r="D79"/>
  <c r="L79" s="1"/>
  <c r="U73" i="1"/>
  <c r="T74" s="1"/>
  <c r="V74" s="1"/>
  <c r="W74" s="1"/>
  <c r="AH74" s="1"/>
  <c r="V73"/>
  <c r="W73" s="1"/>
  <c r="AH73" s="1"/>
  <c r="R810"/>
  <c r="Q789"/>
  <c r="C120"/>
  <c r="J649"/>
  <c r="AA800"/>
  <c r="J725"/>
  <c r="J668"/>
  <c r="J744"/>
  <c r="B801"/>
  <c r="U101"/>
  <c r="T102" s="1"/>
  <c r="V101"/>
  <c r="W101" s="1"/>
  <c r="AB101" s="1"/>
  <c r="J706"/>
  <c r="J687"/>
  <c r="B800"/>
  <c r="J763"/>
  <c r="B83" i="10" l="1"/>
  <c r="G79"/>
  <c r="E82"/>
  <c r="A81"/>
  <c r="D80"/>
  <c r="L80" s="1"/>
  <c r="U74" i="1"/>
  <c r="T75" s="1"/>
  <c r="U75" s="1"/>
  <c r="T76" s="1"/>
  <c r="R830"/>
  <c r="Q809"/>
  <c r="X120"/>
  <c r="K120"/>
  <c r="M120" s="1"/>
  <c r="N120" s="1"/>
  <c r="I120"/>
  <c r="C121"/>
  <c r="B820"/>
  <c r="J783"/>
  <c r="J707"/>
  <c r="J726"/>
  <c r="B821"/>
  <c r="J764"/>
  <c r="J688"/>
  <c r="J745"/>
  <c r="U102"/>
  <c r="T103" s="1"/>
  <c r="V102"/>
  <c r="W102" s="1"/>
  <c r="AB102" s="1"/>
  <c r="AA820"/>
  <c r="J669"/>
  <c r="B84" i="10" l="1"/>
  <c r="E83"/>
  <c r="G80"/>
  <c r="A82"/>
  <c r="D81"/>
  <c r="L81" s="1"/>
  <c r="O120" i="1"/>
  <c r="V75"/>
  <c r="W75" s="1"/>
  <c r="AH75" s="1"/>
  <c r="R850"/>
  <c r="Q829"/>
  <c r="X121"/>
  <c r="I121"/>
  <c r="K121"/>
  <c r="M121" s="1"/>
  <c r="N121" s="1"/>
  <c r="C122"/>
  <c r="AA840"/>
  <c r="U76"/>
  <c r="T77" s="1"/>
  <c r="V76"/>
  <c r="W76" s="1"/>
  <c r="AH76" s="1"/>
  <c r="U103"/>
  <c r="T104" s="1"/>
  <c r="V103"/>
  <c r="W103" s="1"/>
  <c r="AB103" s="1"/>
  <c r="P120"/>
  <c r="J765"/>
  <c r="J708"/>
  <c r="B841"/>
  <c r="J803"/>
  <c r="B840"/>
  <c r="J689"/>
  <c r="J784"/>
  <c r="J746"/>
  <c r="J727"/>
  <c r="B85" i="10" l="1"/>
  <c r="E84"/>
  <c r="G81"/>
  <c r="A83"/>
  <c r="D82"/>
  <c r="L82" s="1"/>
  <c r="O121" i="1"/>
  <c r="R870"/>
  <c r="Q849"/>
  <c r="X122"/>
  <c r="I122"/>
  <c r="K122"/>
  <c r="M122" s="1"/>
  <c r="N122" s="1"/>
  <c r="C123"/>
  <c r="J804"/>
  <c r="J823"/>
  <c r="J747"/>
  <c r="J766"/>
  <c r="B860"/>
  <c r="B861"/>
  <c r="J728"/>
  <c r="J785"/>
  <c r="U77"/>
  <c r="T78" s="1"/>
  <c r="V77"/>
  <c r="W77" s="1"/>
  <c r="AH77" s="1"/>
  <c r="J709"/>
  <c r="P121"/>
  <c r="U104"/>
  <c r="T105" s="1"/>
  <c r="V104"/>
  <c r="W104" s="1"/>
  <c r="AB104" s="1"/>
  <c r="AA860"/>
  <c r="B86" i="10" l="1"/>
  <c r="G82"/>
  <c r="E85"/>
  <c r="A84"/>
  <c r="D83"/>
  <c r="L83" s="1"/>
  <c r="O122" i="1"/>
  <c r="R890"/>
  <c r="Q869"/>
  <c r="K123"/>
  <c r="M123" s="1"/>
  <c r="N123" s="1"/>
  <c r="I123"/>
  <c r="X123"/>
  <c r="C124"/>
  <c r="J729"/>
  <c r="U105"/>
  <c r="T106" s="1"/>
  <c r="V105"/>
  <c r="W105" s="1"/>
  <c r="AB105" s="1"/>
  <c r="U78"/>
  <c r="T79" s="1"/>
  <c r="V78"/>
  <c r="W78" s="1"/>
  <c r="AH78" s="1"/>
  <c r="J805"/>
  <c r="J748"/>
  <c r="B880"/>
  <c r="J843"/>
  <c r="J824"/>
  <c r="AA880"/>
  <c r="P122"/>
  <c r="B881"/>
  <c r="J786"/>
  <c r="J767"/>
  <c r="B87" i="10" l="1"/>
  <c r="G83"/>
  <c r="E86"/>
  <c r="A85"/>
  <c r="D84"/>
  <c r="L84" s="1"/>
  <c r="O123" i="1"/>
  <c r="R910"/>
  <c r="Q889"/>
  <c r="X124"/>
  <c r="I124"/>
  <c r="K124"/>
  <c r="M124" s="1"/>
  <c r="N124" s="1"/>
  <c r="C125"/>
  <c r="J844"/>
  <c r="J863"/>
  <c r="U79"/>
  <c r="V79"/>
  <c r="W79" s="1"/>
  <c r="AH79" s="1"/>
  <c r="U106"/>
  <c r="T107" s="1"/>
  <c r="V106"/>
  <c r="W106" s="1"/>
  <c r="AB106" s="1"/>
  <c r="J787"/>
  <c r="J806"/>
  <c r="B901"/>
  <c r="P123"/>
  <c r="AA900"/>
  <c r="B900"/>
  <c r="J768"/>
  <c r="J825"/>
  <c r="J749"/>
  <c r="B88" i="10" l="1"/>
  <c r="E87"/>
  <c r="G84"/>
  <c r="A86"/>
  <c r="D85"/>
  <c r="L85" s="1"/>
  <c r="O124" i="1"/>
  <c r="R930"/>
  <c r="Q909"/>
  <c r="K125"/>
  <c r="M125" s="1"/>
  <c r="N125" s="1"/>
  <c r="X125"/>
  <c r="I125"/>
  <c r="C126"/>
  <c r="J769"/>
  <c r="B920"/>
  <c r="P124"/>
  <c r="B921"/>
  <c r="U107"/>
  <c r="T108" s="1"/>
  <c r="V107"/>
  <c r="W107" s="1"/>
  <c r="AB107" s="1"/>
  <c r="J845"/>
  <c r="J788"/>
  <c r="AA920"/>
  <c r="J826"/>
  <c r="J807"/>
  <c r="J883"/>
  <c r="J864"/>
  <c r="B89" i="10" l="1"/>
  <c r="G85"/>
  <c r="E88"/>
  <c r="A87"/>
  <c r="D86"/>
  <c r="L86" s="1"/>
  <c r="O125" i="1"/>
  <c r="R950"/>
  <c r="Q929"/>
  <c r="K126"/>
  <c r="M126" s="1"/>
  <c r="N126" s="1"/>
  <c r="I126"/>
  <c r="X126"/>
  <c r="C127"/>
  <c r="J884"/>
  <c r="J903"/>
  <c r="J808"/>
  <c r="J865"/>
  <c r="U108"/>
  <c r="T109" s="1"/>
  <c r="V108"/>
  <c r="W108" s="1"/>
  <c r="AB108" s="1"/>
  <c r="J789"/>
  <c r="J827"/>
  <c r="J846"/>
  <c r="AA940"/>
  <c r="B941"/>
  <c r="P125"/>
  <c r="B940"/>
  <c r="B90" i="10" l="1"/>
  <c r="E89"/>
  <c r="G86"/>
  <c r="A88"/>
  <c r="D87"/>
  <c r="L87" s="1"/>
  <c r="O126" i="1"/>
  <c r="R970"/>
  <c r="Q949"/>
  <c r="K127"/>
  <c r="M127" s="1"/>
  <c r="N127" s="1"/>
  <c r="X127"/>
  <c r="I127"/>
  <c r="C128"/>
  <c r="B960"/>
  <c r="P126"/>
  <c r="B961"/>
  <c r="U109"/>
  <c r="U110" s="1"/>
  <c r="V109"/>
  <c r="W109" s="1"/>
  <c r="AB109" s="1"/>
  <c r="J885"/>
  <c r="J828"/>
  <c r="J923"/>
  <c r="J904"/>
  <c r="AA960"/>
  <c r="J866"/>
  <c r="J847"/>
  <c r="J809"/>
  <c r="B91" i="10" l="1"/>
  <c r="E90"/>
  <c r="G87"/>
  <c r="A89"/>
  <c r="D88"/>
  <c r="L88" s="1"/>
  <c r="O127" i="1"/>
  <c r="R990"/>
  <c r="Q969"/>
  <c r="X128"/>
  <c r="K128"/>
  <c r="M128" s="1"/>
  <c r="N128" s="1"/>
  <c r="I128"/>
  <c r="C129"/>
  <c r="J867"/>
  <c r="J886"/>
  <c r="AA980"/>
  <c r="B981"/>
  <c r="P127"/>
  <c r="B980"/>
  <c r="J829"/>
  <c r="J924"/>
  <c r="J943"/>
  <c r="J848"/>
  <c r="J905"/>
  <c r="B92" i="10" l="1"/>
  <c r="G88"/>
  <c r="E91"/>
  <c r="A90"/>
  <c r="D89"/>
  <c r="L89" s="1"/>
  <c r="O128" i="1"/>
  <c r="Q989"/>
  <c r="Q90" s="1"/>
  <c r="Q35" s="1"/>
  <c r="R91"/>
  <c r="X129"/>
  <c r="I129"/>
  <c r="K129"/>
  <c r="M129" s="1"/>
  <c r="N129" s="1"/>
  <c r="J925"/>
  <c r="J868"/>
  <c r="J963"/>
  <c r="J944"/>
  <c r="J849"/>
  <c r="B81"/>
  <c r="P128"/>
  <c r="B82"/>
  <c r="J906"/>
  <c r="J887"/>
  <c r="B93" i="10" l="1"/>
  <c r="G89"/>
  <c r="E92"/>
  <c r="A91"/>
  <c r="D90"/>
  <c r="L90" s="1"/>
  <c r="O129" i="1"/>
  <c r="N130"/>
  <c r="N131" s="1"/>
  <c r="J907"/>
  <c r="J926"/>
  <c r="J869"/>
  <c r="J964"/>
  <c r="J983"/>
  <c r="J888"/>
  <c r="J945"/>
  <c r="P129"/>
  <c r="P131" s="1"/>
  <c r="B94" i="10" l="1"/>
  <c r="E93"/>
  <c r="G90"/>
  <c r="A92"/>
  <c r="D91"/>
  <c r="L91" s="1"/>
  <c r="Y130" i="1"/>
  <c r="Y129" s="1"/>
  <c r="AD129" s="1"/>
  <c r="AE131"/>
  <c r="AE130" s="1"/>
  <c r="AE129" s="1"/>
  <c r="AE128" s="1"/>
  <c r="AE127" s="1"/>
  <c r="AE126" s="1"/>
  <c r="AE125" s="1"/>
  <c r="AE124" s="1"/>
  <c r="AE123" s="1"/>
  <c r="AE122" s="1"/>
  <c r="AE121" s="1"/>
  <c r="AE120" s="1"/>
  <c r="AC120"/>
  <c r="AC121" s="1"/>
  <c r="AC122" s="1"/>
  <c r="AC123" s="1"/>
  <c r="AC124" s="1"/>
  <c r="AC125" s="1"/>
  <c r="AC126" s="1"/>
  <c r="AC127" s="1"/>
  <c r="AC128" s="1"/>
  <c r="AC129" s="1"/>
  <c r="J84"/>
  <c r="R129"/>
  <c r="S129"/>
  <c r="J965"/>
  <c r="J908"/>
  <c r="J984"/>
  <c r="J889"/>
  <c r="J946"/>
  <c r="J927"/>
  <c r="B95" i="10" l="1"/>
  <c r="E94"/>
  <c r="G91"/>
  <c r="A93"/>
  <c r="D92"/>
  <c r="L92" s="1"/>
  <c r="J966" i="1"/>
  <c r="J909"/>
  <c r="E129"/>
  <c r="D129" s="1"/>
  <c r="Q128"/>
  <c r="Z129"/>
  <c r="Y128"/>
  <c r="AD128" s="1"/>
  <c r="J947"/>
  <c r="J85"/>
  <c r="J928"/>
  <c r="J985"/>
  <c r="B96" i="10" l="1"/>
  <c r="G92"/>
  <c r="E95"/>
  <c r="A94"/>
  <c r="D93"/>
  <c r="L93" s="1"/>
  <c r="J948" i="1"/>
  <c r="H129"/>
  <c r="G129"/>
  <c r="J929"/>
  <c r="J986"/>
  <c r="J86"/>
  <c r="J967"/>
  <c r="Z128"/>
  <c r="Y127"/>
  <c r="AD127" s="1"/>
  <c r="R128"/>
  <c r="S128"/>
  <c r="B97" i="10" l="1"/>
  <c r="G93"/>
  <c r="E96"/>
  <c r="A95"/>
  <c r="D94"/>
  <c r="L94" s="1"/>
  <c r="Z127" i="1"/>
  <c r="Y126"/>
  <c r="AD126" s="1"/>
  <c r="J987"/>
  <c r="E128"/>
  <c r="D128" s="1"/>
  <c r="Q127"/>
  <c r="J87"/>
  <c r="J949"/>
  <c r="J968"/>
  <c r="B98" i="10" l="1"/>
  <c r="G94"/>
  <c r="E97"/>
  <c r="A96"/>
  <c r="D95"/>
  <c r="L95" s="1"/>
  <c r="J988" i="1"/>
  <c r="J969"/>
  <c r="H128"/>
  <c r="G128"/>
  <c r="R127"/>
  <c r="S127"/>
  <c r="J88"/>
  <c r="Z126"/>
  <c r="Y125"/>
  <c r="AD125" s="1"/>
  <c r="B99" i="10" l="1"/>
  <c r="E98"/>
  <c r="G95"/>
  <c r="A97"/>
  <c r="D96"/>
  <c r="L96" s="1"/>
  <c r="Z125" i="1"/>
  <c r="Y124"/>
  <c r="AD124" s="1"/>
  <c r="E127"/>
  <c r="D127" s="1"/>
  <c r="Q126"/>
  <c r="J989"/>
  <c r="J89"/>
  <c r="B100" i="10" l="1"/>
  <c r="G96"/>
  <c r="E99"/>
  <c r="A98"/>
  <c r="D97"/>
  <c r="L97" s="1"/>
  <c r="H127" i="1"/>
  <c r="G127"/>
  <c r="J90"/>
  <c r="R126"/>
  <c r="S126"/>
  <c r="Z124"/>
  <c r="Y123"/>
  <c r="AD123" s="1"/>
  <c r="B101" i="10" l="1"/>
  <c r="G97"/>
  <c r="E100"/>
  <c r="A99"/>
  <c r="D98"/>
  <c r="L98" s="1"/>
  <c r="E126" i="1"/>
  <c r="D126" s="1"/>
  <c r="Q125"/>
  <c r="Z123"/>
  <c r="Y122"/>
  <c r="AD122" s="1"/>
  <c r="B102" i="10" l="1"/>
  <c r="G98"/>
  <c r="E101"/>
  <c r="A100"/>
  <c r="D99"/>
  <c r="L99" s="1"/>
  <c r="H126" i="1"/>
  <c r="G126"/>
  <c r="Y121"/>
  <c r="AD121" s="1"/>
  <c r="Z122"/>
  <c r="R125"/>
  <c r="S125"/>
  <c r="B103" i="10" l="1"/>
  <c r="G99"/>
  <c r="E102"/>
  <c r="A101"/>
  <c r="D100"/>
  <c r="L100" s="1"/>
  <c r="E125" i="1"/>
  <c r="D125" s="1"/>
  <c r="Q124"/>
  <c r="Y120"/>
  <c r="AD120" s="1"/>
  <c r="Z121"/>
  <c r="Z120" l="1"/>
  <c r="B104" i="10"/>
  <c r="G100"/>
  <c r="E103"/>
  <c r="A102"/>
  <c r="D101"/>
  <c r="L101" s="1"/>
  <c r="H125" i="1"/>
  <c r="G125"/>
  <c r="R124"/>
  <c r="S124"/>
  <c r="B105" i="10" l="1"/>
  <c r="E104"/>
  <c r="G101"/>
  <c r="A103"/>
  <c r="D102"/>
  <c r="L102" s="1"/>
  <c r="E124" i="1"/>
  <c r="D124" s="1"/>
  <c r="Q123"/>
  <c r="B106" i="10" l="1"/>
  <c r="G102"/>
  <c r="E105"/>
  <c r="A104"/>
  <c r="D103"/>
  <c r="L103" s="1"/>
  <c r="H124" i="1"/>
  <c r="G124"/>
  <c r="R123"/>
  <c r="S123"/>
  <c r="B107" i="10" l="1"/>
  <c r="G103"/>
  <c r="E106"/>
  <c r="A105"/>
  <c r="D104"/>
  <c r="L104" s="1"/>
  <c r="E123" i="1"/>
  <c r="D123" s="1"/>
  <c r="Q122"/>
  <c r="B108" i="10" l="1"/>
  <c r="G104"/>
  <c r="E107"/>
  <c r="A106"/>
  <c r="D105"/>
  <c r="L105" s="1"/>
  <c r="H123" i="1"/>
  <c r="G123"/>
  <c r="R122"/>
  <c r="S122"/>
  <c r="E108" i="10" l="1"/>
  <c r="B109"/>
  <c r="G105"/>
  <c r="A107"/>
  <c r="D106"/>
  <c r="L106" s="1"/>
  <c r="Q121" i="1"/>
  <c r="E122"/>
  <c r="D122" s="1"/>
  <c r="B110" i="10" l="1"/>
  <c r="E109"/>
  <c r="G106"/>
  <c r="A108"/>
  <c r="D107"/>
  <c r="L107" s="1"/>
  <c r="R121" i="1"/>
  <c r="S121"/>
  <c r="H122"/>
  <c r="G122"/>
  <c r="B111" i="10" l="1"/>
  <c r="G107"/>
  <c r="E110"/>
  <c r="A109"/>
  <c r="D108"/>
  <c r="L108" s="1"/>
  <c r="Q120" i="1"/>
  <c r="E121"/>
  <c r="D121" s="1"/>
  <c r="B112" i="10" l="1"/>
  <c r="G108"/>
  <c r="E111"/>
  <c r="A110"/>
  <c r="D109"/>
  <c r="L109" s="1"/>
  <c r="G121" i="1"/>
  <c r="H121"/>
  <c r="R120"/>
  <c r="E120" s="1"/>
  <c r="D120" s="1"/>
  <c r="S120"/>
  <c r="B113" i="10" l="1"/>
  <c r="E112"/>
  <c r="G109"/>
  <c r="A111"/>
  <c r="D110"/>
  <c r="L110" s="1"/>
  <c r="G120" i="1"/>
  <c r="H120"/>
  <c r="T120" s="1"/>
  <c r="B114" i="10" l="1"/>
  <c r="G110"/>
  <c r="E113"/>
  <c r="A112"/>
  <c r="D111"/>
  <c r="L111" s="1"/>
  <c r="U120" i="1"/>
  <c r="T121" s="1"/>
  <c r="V120"/>
  <c r="W120" s="1"/>
  <c r="AB120" s="1"/>
  <c r="B115" i="10" l="1"/>
  <c r="E114"/>
  <c r="G111"/>
  <c r="A113"/>
  <c r="D112"/>
  <c r="L112" s="1"/>
  <c r="C140" i="1"/>
  <c r="U121"/>
  <c r="T122" s="1"/>
  <c r="V121"/>
  <c r="W121" s="1"/>
  <c r="AB121" s="1"/>
  <c r="B116" i="10" l="1"/>
  <c r="G112"/>
  <c r="E115"/>
  <c r="A114"/>
  <c r="D113"/>
  <c r="L113" s="1"/>
  <c r="X140" i="1"/>
  <c r="K140"/>
  <c r="M140" s="1"/>
  <c r="N140" s="1"/>
  <c r="I140"/>
  <c r="C141"/>
  <c r="U122"/>
  <c r="T123" s="1"/>
  <c r="V122"/>
  <c r="W122" s="1"/>
  <c r="AB122" s="1"/>
  <c r="B117" i="10" l="1"/>
  <c r="E116"/>
  <c r="G113"/>
  <c r="A115"/>
  <c r="D114"/>
  <c r="L114" s="1"/>
  <c r="O140" i="1"/>
  <c r="I141"/>
  <c r="X141"/>
  <c r="K141"/>
  <c r="M141" s="1"/>
  <c r="N141" s="1"/>
  <c r="C142"/>
  <c r="U123"/>
  <c r="T124" s="1"/>
  <c r="V123"/>
  <c r="W123" s="1"/>
  <c r="AB123" s="1"/>
  <c r="P140"/>
  <c r="B118" i="10" l="1"/>
  <c r="G114"/>
  <c r="E117"/>
  <c r="A116"/>
  <c r="D115"/>
  <c r="L115" s="1"/>
  <c r="O141" i="1"/>
  <c r="I142"/>
  <c r="K142"/>
  <c r="M142" s="1"/>
  <c r="N142" s="1"/>
  <c r="X142"/>
  <c r="C143"/>
  <c r="P141"/>
  <c r="U124"/>
  <c r="T125" s="1"/>
  <c r="V124"/>
  <c r="W124" s="1"/>
  <c r="AB124" s="1"/>
  <c r="B119" i="10" l="1"/>
  <c r="G115"/>
  <c r="E118"/>
  <c r="A117"/>
  <c r="D116"/>
  <c r="L116" s="1"/>
  <c r="O142" i="1"/>
  <c r="K143"/>
  <c r="M143" s="1"/>
  <c r="N143" s="1"/>
  <c r="X143"/>
  <c r="I143"/>
  <c r="C144"/>
  <c r="P142"/>
  <c r="U125"/>
  <c r="T126" s="1"/>
  <c r="V125"/>
  <c r="W125" s="1"/>
  <c r="AB125" s="1"/>
  <c r="B120" i="10" l="1"/>
  <c r="G116"/>
  <c r="E119"/>
  <c r="A118"/>
  <c r="D117"/>
  <c r="L117" s="1"/>
  <c r="O143" i="1"/>
  <c r="I144"/>
  <c r="X144"/>
  <c r="K144"/>
  <c r="M144" s="1"/>
  <c r="N144" s="1"/>
  <c r="C145"/>
  <c r="P143"/>
  <c r="U126"/>
  <c r="T127" s="1"/>
  <c r="V126"/>
  <c r="W126" s="1"/>
  <c r="AB126" s="1"/>
  <c r="B121" i="10" l="1"/>
  <c r="G117"/>
  <c r="E120"/>
  <c r="A119"/>
  <c r="D118"/>
  <c r="L118" s="1"/>
  <c r="O144" i="1"/>
  <c r="I145"/>
  <c r="X145"/>
  <c r="K145"/>
  <c r="M145" s="1"/>
  <c r="N145" s="1"/>
  <c r="C146"/>
  <c r="U127"/>
  <c r="T128" s="1"/>
  <c r="V127"/>
  <c r="W127" s="1"/>
  <c r="AB127" s="1"/>
  <c r="P144"/>
  <c r="B122" i="10" l="1"/>
  <c r="G118"/>
  <c r="E121"/>
  <c r="A120"/>
  <c r="D119"/>
  <c r="L119" s="1"/>
  <c r="O145" i="1"/>
  <c r="I146"/>
  <c r="X146"/>
  <c r="K146"/>
  <c r="M146" s="1"/>
  <c r="N146" s="1"/>
  <c r="C147"/>
  <c r="P145"/>
  <c r="U128"/>
  <c r="T129" s="1"/>
  <c r="V128"/>
  <c r="W128" s="1"/>
  <c r="AB128" s="1"/>
  <c r="B123" i="10" l="1"/>
  <c r="G119"/>
  <c r="E122"/>
  <c r="A121"/>
  <c r="D120"/>
  <c r="L120" s="1"/>
  <c r="O146" i="1"/>
  <c r="K147"/>
  <c r="M147" s="1"/>
  <c r="N147" s="1"/>
  <c r="I147"/>
  <c r="X147"/>
  <c r="C148"/>
  <c r="P146"/>
  <c r="U129"/>
  <c r="U130" s="1"/>
  <c r="V129"/>
  <c r="W129" s="1"/>
  <c r="AB129" s="1"/>
  <c r="B124" i="10" l="1"/>
  <c r="G120"/>
  <c r="E123"/>
  <c r="A122"/>
  <c r="D121"/>
  <c r="L121" s="1"/>
  <c r="O147" i="1"/>
  <c r="I148"/>
  <c r="X148"/>
  <c r="K148"/>
  <c r="M148" s="1"/>
  <c r="N148" s="1"/>
  <c r="C149"/>
  <c r="P147"/>
  <c r="B125" i="10" l="1"/>
  <c r="G121"/>
  <c r="E124"/>
  <c r="A123"/>
  <c r="D122"/>
  <c r="L122" s="1"/>
  <c r="O148" i="1"/>
  <c r="I149"/>
  <c r="X149"/>
  <c r="K149"/>
  <c r="M149" s="1"/>
  <c r="N149" s="1"/>
  <c r="P148"/>
  <c r="B126" i="10" l="1"/>
  <c r="G122"/>
  <c r="E125"/>
  <c r="A124"/>
  <c r="D123"/>
  <c r="L123" s="1"/>
  <c r="O149" i="1"/>
  <c r="N150"/>
  <c r="N151" s="1"/>
  <c r="P149"/>
  <c r="P151" s="1"/>
  <c r="B127" i="10" l="1"/>
  <c r="G123"/>
  <c r="E126"/>
  <c r="A125"/>
  <c r="D124"/>
  <c r="L124" s="1"/>
  <c r="AE151" i="1"/>
  <c r="AE150" s="1"/>
  <c r="AE149" s="1"/>
  <c r="AE148" s="1"/>
  <c r="AE147" s="1"/>
  <c r="AE146" s="1"/>
  <c r="AE145" s="1"/>
  <c r="AE144" s="1"/>
  <c r="AE143" s="1"/>
  <c r="AE142" s="1"/>
  <c r="AE141" s="1"/>
  <c r="AE140" s="1"/>
  <c r="Y150"/>
  <c r="Y149" s="1"/>
  <c r="AD149" s="1"/>
  <c r="AC140"/>
  <c r="AC141" s="1"/>
  <c r="AC142" s="1"/>
  <c r="AC143" s="1"/>
  <c r="AC144" s="1"/>
  <c r="AC145" s="1"/>
  <c r="AC146" s="1"/>
  <c r="AC147" s="1"/>
  <c r="AC148" s="1"/>
  <c r="AC149" s="1"/>
  <c r="R149"/>
  <c r="S149"/>
  <c r="B128" i="10" l="1"/>
  <c r="G124"/>
  <c r="E127"/>
  <c r="A126"/>
  <c r="D125"/>
  <c r="L125" s="1"/>
  <c r="Q148" i="1"/>
  <c r="E149"/>
  <c r="D149" s="1"/>
  <c r="Y148"/>
  <c r="AD148" s="1"/>
  <c r="Z149"/>
  <c r="B129" i="10" l="1"/>
  <c r="E128"/>
  <c r="G125"/>
  <c r="A127"/>
  <c r="D126"/>
  <c r="L126" s="1"/>
  <c r="Y147" i="1"/>
  <c r="AD147" s="1"/>
  <c r="Z148"/>
  <c r="R148"/>
  <c r="S148"/>
  <c r="G149"/>
  <c r="H149"/>
  <c r="B130" i="10" l="1"/>
  <c r="G126"/>
  <c r="E129"/>
  <c r="A128"/>
  <c r="D127"/>
  <c r="L127" s="1"/>
  <c r="Q147" i="1"/>
  <c r="E148"/>
  <c r="D148" s="1"/>
  <c r="Y146"/>
  <c r="AD146" s="1"/>
  <c r="Z147"/>
  <c r="B131" i="10" l="1"/>
  <c r="G127"/>
  <c r="E130"/>
  <c r="A129"/>
  <c r="D128"/>
  <c r="L128" s="1"/>
  <c r="Y145" i="1"/>
  <c r="AD145" s="1"/>
  <c r="Z146"/>
  <c r="R147"/>
  <c r="S147"/>
  <c r="G148"/>
  <c r="H148"/>
  <c r="B132" i="10" l="1"/>
  <c r="G128"/>
  <c r="E131"/>
  <c r="A130"/>
  <c r="D129"/>
  <c r="L129" s="1"/>
  <c r="Q146" i="1"/>
  <c r="E147"/>
  <c r="D147" s="1"/>
  <c r="Y144"/>
  <c r="AD144" s="1"/>
  <c r="Z145"/>
  <c r="B133" i="10" l="1"/>
  <c r="E132"/>
  <c r="G129"/>
  <c r="A131"/>
  <c r="D130"/>
  <c r="L130" s="1"/>
  <c r="G147" i="1"/>
  <c r="H147"/>
  <c r="Y143"/>
  <c r="AD143" s="1"/>
  <c r="Z144"/>
  <c r="R146"/>
  <c r="S146"/>
  <c r="B134" i="10" l="1"/>
  <c r="G130"/>
  <c r="E133"/>
  <c r="A132"/>
  <c r="D131"/>
  <c r="L131" s="1"/>
  <c r="Q145" i="1"/>
  <c r="E146"/>
  <c r="D146" s="1"/>
  <c r="Y142"/>
  <c r="AD142" s="1"/>
  <c r="Z143"/>
  <c r="B135" i="10" l="1"/>
  <c r="G131"/>
  <c r="E134"/>
  <c r="A133"/>
  <c r="D132"/>
  <c r="L132" s="1"/>
  <c r="G146" i="1"/>
  <c r="H146"/>
  <c r="Y141"/>
  <c r="AD141" s="1"/>
  <c r="Z142"/>
  <c r="R145"/>
  <c r="S145"/>
  <c r="B136" i="10" l="1"/>
  <c r="G132"/>
  <c r="E135"/>
  <c r="A134"/>
  <c r="D133"/>
  <c r="L133" s="1"/>
  <c r="Q144" i="1"/>
  <c r="E145"/>
  <c r="D145" s="1"/>
  <c r="Y140"/>
  <c r="AD140" s="1"/>
  <c r="Z141"/>
  <c r="Z140" l="1"/>
  <c r="B137" i="10"/>
  <c r="E136"/>
  <c r="G133"/>
  <c r="A135"/>
  <c r="D134"/>
  <c r="L134" s="1"/>
  <c r="R144" i="1"/>
  <c r="S144"/>
  <c r="G145"/>
  <c r="H145"/>
  <c r="B138" i="10" l="1"/>
  <c r="G134"/>
  <c r="E137"/>
  <c r="A136"/>
  <c r="D135"/>
  <c r="L135" s="1"/>
  <c r="Q143" i="1"/>
  <c r="E144"/>
  <c r="D144" s="1"/>
  <c r="B139" i="10" l="1"/>
  <c r="G135"/>
  <c r="E138"/>
  <c r="A137"/>
  <c r="D136"/>
  <c r="L136" s="1"/>
  <c r="G144" i="1"/>
  <c r="H144"/>
  <c r="R143"/>
  <c r="S143"/>
  <c r="B140" i="10" l="1"/>
  <c r="G136"/>
  <c r="E139"/>
  <c r="A138"/>
  <c r="D137"/>
  <c r="L137" s="1"/>
  <c r="Q142" i="1"/>
  <c r="E143"/>
  <c r="D143" s="1"/>
  <c r="B141" i="10" l="1"/>
  <c r="G137"/>
  <c r="E140"/>
  <c r="A139"/>
  <c r="D138"/>
  <c r="L138" s="1"/>
  <c r="G143" i="1"/>
  <c r="H143"/>
  <c r="R142"/>
  <c r="S142"/>
  <c r="B142" i="10" l="1"/>
  <c r="G138"/>
  <c r="E141"/>
  <c r="A140"/>
  <c r="D139"/>
  <c r="L139" s="1"/>
  <c r="Q141" i="1"/>
  <c r="E142"/>
  <c r="D142" s="1"/>
  <c r="B143" i="10" l="1"/>
  <c r="G139"/>
  <c r="E142"/>
  <c r="A141"/>
  <c r="D140"/>
  <c r="L140" s="1"/>
  <c r="R141" i="1"/>
  <c r="S141"/>
  <c r="G142"/>
  <c r="H142"/>
  <c r="E143" i="10" l="1"/>
  <c r="G140"/>
  <c r="A142"/>
  <c r="D141"/>
  <c r="L141" s="1"/>
  <c r="Q140" i="1"/>
  <c r="E141"/>
  <c r="D141" s="1"/>
  <c r="G141" i="10" l="1"/>
  <c r="A143"/>
  <c r="D143" s="1"/>
  <c r="L143" s="1"/>
  <c r="D142"/>
  <c r="L142" s="1"/>
  <c r="R140" i="1"/>
  <c r="E140" s="1"/>
  <c r="D140" s="1"/>
  <c r="S140"/>
  <c r="G141"/>
  <c r="H141"/>
  <c r="G143" i="10" l="1"/>
  <c r="G142"/>
  <c r="G140" i="1"/>
  <c r="H140"/>
  <c r="T140" s="1"/>
  <c r="U140" l="1"/>
  <c r="T141" s="1"/>
  <c r="V140"/>
  <c r="W140" l="1"/>
  <c r="U141"/>
  <c r="T142" s="1"/>
  <c r="V141"/>
  <c r="W141" s="1"/>
  <c r="AB141" s="1"/>
  <c r="AB140" l="1"/>
  <c r="C160" s="1"/>
  <c r="C161"/>
  <c r="U142"/>
  <c r="T143" s="1"/>
  <c r="V142"/>
  <c r="W142" s="1"/>
  <c r="AB142" s="1"/>
  <c r="X160" l="1"/>
  <c r="K160"/>
  <c r="M160" s="1"/>
  <c r="N160" s="1"/>
  <c r="I160"/>
  <c r="O160"/>
  <c r="X161"/>
  <c r="I161"/>
  <c r="C162"/>
  <c r="U143"/>
  <c r="T144" s="1"/>
  <c r="V143"/>
  <c r="W143" s="1"/>
  <c r="AB143" s="1"/>
  <c r="P160"/>
  <c r="K161" l="1"/>
  <c r="M161" s="1"/>
  <c r="N161" s="1"/>
  <c r="X162"/>
  <c r="I162"/>
  <c r="C163"/>
  <c r="U144"/>
  <c r="T145" s="1"/>
  <c r="V144"/>
  <c r="W144" s="1"/>
  <c r="AB144" s="1"/>
  <c r="P161"/>
  <c r="K162" l="1"/>
  <c r="M162" s="1"/>
  <c r="N162" s="1"/>
  <c r="O161"/>
  <c r="O162"/>
  <c r="X163"/>
  <c r="I163"/>
  <c r="C164"/>
  <c r="U145"/>
  <c r="T146" s="1"/>
  <c r="V145"/>
  <c r="W145" s="1"/>
  <c r="AB145" s="1"/>
  <c r="P162"/>
  <c r="K163" l="1"/>
  <c r="M163" s="1"/>
  <c r="N163" s="1"/>
  <c r="X164"/>
  <c r="I164"/>
  <c r="C165"/>
  <c r="U146"/>
  <c r="T147" s="1"/>
  <c r="V146"/>
  <c r="W146" s="1"/>
  <c r="AB146" s="1"/>
  <c r="P163" l="1"/>
  <c r="K164"/>
  <c r="M164" s="1"/>
  <c r="N164" s="1"/>
  <c r="O163"/>
  <c r="O164"/>
  <c r="X165"/>
  <c r="I165"/>
  <c r="C166"/>
  <c r="U147"/>
  <c r="T148" s="1"/>
  <c r="V147"/>
  <c r="W147" s="1"/>
  <c r="AB147" s="1"/>
  <c r="P164" l="1"/>
  <c r="K165"/>
  <c r="M165" s="1"/>
  <c r="N165" s="1"/>
  <c r="X166"/>
  <c r="I166"/>
  <c r="C167"/>
  <c r="U148"/>
  <c r="T149" s="1"/>
  <c r="V148"/>
  <c r="W148" s="1"/>
  <c r="AB148" s="1"/>
  <c r="P165" l="1"/>
  <c r="K166"/>
  <c r="M166" s="1"/>
  <c r="N166" s="1"/>
  <c r="O165"/>
  <c r="O166"/>
  <c r="X167"/>
  <c r="I167"/>
  <c r="C168"/>
  <c r="U149"/>
  <c r="U150" s="1"/>
  <c r="V149"/>
  <c r="W149" s="1"/>
  <c r="AB149" s="1"/>
  <c r="P166" l="1"/>
  <c r="K167"/>
  <c r="M167" s="1"/>
  <c r="N167" s="1"/>
  <c r="X168"/>
  <c r="I168"/>
  <c r="C169"/>
  <c r="P167" l="1"/>
  <c r="K168"/>
  <c r="M168" s="1"/>
  <c r="N168" s="1"/>
  <c r="O167"/>
  <c r="O168"/>
  <c r="X169"/>
  <c r="I169"/>
  <c r="P168" l="1"/>
  <c r="K169"/>
  <c r="M169" s="1"/>
  <c r="N169" s="1"/>
  <c r="N170" s="1"/>
  <c r="N171" s="1"/>
  <c r="P169" l="1"/>
  <c r="P171" s="1"/>
  <c r="O169"/>
  <c r="R169" s="1"/>
  <c r="Y170"/>
  <c r="Y169" s="1"/>
  <c r="AD169" s="1"/>
  <c r="AE171"/>
  <c r="AE170" s="1"/>
  <c r="AE169" s="1"/>
  <c r="AE168" s="1"/>
  <c r="AE167" s="1"/>
  <c r="AE166" s="1"/>
  <c r="AE165" s="1"/>
  <c r="AE164" s="1"/>
  <c r="AE163" s="1"/>
  <c r="AE162" s="1"/>
  <c r="AE161" s="1"/>
  <c r="AE160" s="1"/>
  <c r="AC160"/>
  <c r="AC161" s="1"/>
  <c r="AC162" s="1"/>
  <c r="AC163" s="1"/>
  <c r="AC164" s="1"/>
  <c r="AC165" s="1"/>
  <c r="AC166" s="1"/>
  <c r="AC167" s="1"/>
  <c r="AC168" s="1"/>
  <c r="AC169" s="1"/>
  <c r="S169" l="1"/>
  <c r="E169"/>
  <c r="D169" s="1"/>
  <c r="Q168"/>
  <c r="Z169"/>
  <c r="Y168"/>
  <c r="AD168" s="1"/>
  <c r="H169" l="1"/>
  <c r="G169"/>
  <c r="Z168"/>
  <c r="Y167"/>
  <c r="AD167" s="1"/>
  <c r="R168"/>
  <c r="S168"/>
  <c r="E168" l="1"/>
  <c r="D168" s="1"/>
  <c r="Q167"/>
  <c r="Z167"/>
  <c r="Y166"/>
  <c r="AD166" s="1"/>
  <c r="H168" l="1"/>
  <c r="G168"/>
  <c r="Z166"/>
  <c r="Y165"/>
  <c r="AD165" s="1"/>
  <c r="R167"/>
  <c r="S167"/>
  <c r="E167" l="1"/>
  <c r="D167" s="1"/>
  <c r="Q166"/>
  <c r="Z165"/>
  <c r="Y164"/>
  <c r="AD164" s="1"/>
  <c r="H167" l="1"/>
  <c r="G167"/>
  <c r="Z164"/>
  <c r="Y163"/>
  <c r="AD163" s="1"/>
  <c r="R166"/>
  <c r="S166"/>
  <c r="E166" l="1"/>
  <c r="D166" s="1"/>
  <c r="Q165"/>
  <c r="Z163"/>
  <c r="Y162"/>
  <c r="AD162" s="1"/>
  <c r="H166" l="1"/>
  <c r="G166"/>
  <c r="Z162"/>
  <c r="Y161"/>
  <c r="AD161" s="1"/>
  <c r="R165"/>
  <c r="S165"/>
  <c r="E165" l="1"/>
  <c r="D165" s="1"/>
  <c r="Q164"/>
  <c r="Z161"/>
  <c r="Y160"/>
  <c r="AD160" s="1"/>
  <c r="Z160" l="1"/>
  <c r="H165"/>
  <c r="G165"/>
  <c r="R164"/>
  <c r="S164"/>
  <c r="E164" l="1"/>
  <c r="D164" s="1"/>
  <c r="Q163"/>
  <c r="H164" l="1"/>
  <c r="G164"/>
  <c r="R163"/>
  <c r="S163"/>
  <c r="E163" l="1"/>
  <c r="D163" s="1"/>
  <c r="Q162"/>
  <c r="H163" l="1"/>
  <c r="G163"/>
  <c r="R162"/>
  <c r="S162"/>
  <c r="E162" l="1"/>
  <c r="D162" s="1"/>
  <c r="Q161"/>
  <c r="H162" l="1"/>
  <c r="G162"/>
  <c r="R161"/>
  <c r="S161"/>
  <c r="E161" l="1"/>
  <c r="D161" s="1"/>
  <c r="Q160"/>
  <c r="H161" l="1"/>
  <c r="G161"/>
  <c r="R160"/>
  <c r="E160" s="1"/>
  <c r="D160" s="1"/>
  <c r="S160"/>
  <c r="H160" l="1"/>
  <c r="T160" s="1"/>
  <c r="G160"/>
  <c r="U160" l="1"/>
  <c r="T161" s="1"/>
  <c r="V160"/>
  <c r="W160" s="1"/>
  <c r="AB160" s="1"/>
  <c r="C180" l="1"/>
  <c r="U161"/>
  <c r="T162" s="1"/>
  <c r="V161"/>
  <c r="W161" s="1"/>
  <c r="AB161" s="1"/>
  <c r="X180" l="1"/>
  <c r="I180"/>
  <c r="K180"/>
  <c r="M180" s="1"/>
  <c r="N180" s="1"/>
  <c r="C181"/>
  <c r="U162"/>
  <c r="T163" s="1"/>
  <c r="V162"/>
  <c r="W162" s="1"/>
  <c r="AB162" s="1"/>
  <c r="O180" l="1"/>
  <c r="I181"/>
  <c r="X181"/>
  <c r="K181"/>
  <c r="M181" s="1"/>
  <c r="N181" s="1"/>
  <c r="C182"/>
  <c r="U163"/>
  <c r="T164" s="1"/>
  <c r="V163"/>
  <c r="W163" s="1"/>
  <c r="AB163" s="1"/>
  <c r="P180"/>
  <c r="O181" l="1"/>
  <c r="K182"/>
  <c r="M182" s="1"/>
  <c r="N182" s="1"/>
  <c r="X182"/>
  <c r="I182"/>
  <c r="C183"/>
  <c r="P181"/>
  <c r="U164"/>
  <c r="T165" s="1"/>
  <c r="V164"/>
  <c r="W164" s="1"/>
  <c r="AB164" s="1"/>
  <c r="O182" l="1"/>
  <c r="K183"/>
  <c r="M183" s="1"/>
  <c r="N183" s="1"/>
  <c r="X183"/>
  <c r="I183"/>
  <c r="C184"/>
  <c r="P182"/>
  <c r="U165"/>
  <c r="T166" s="1"/>
  <c r="V165"/>
  <c r="W165" s="1"/>
  <c r="AB165" s="1"/>
  <c r="O183" l="1"/>
  <c r="I184"/>
  <c r="X184"/>
  <c r="K184"/>
  <c r="M184" s="1"/>
  <c r="N184" s="1"/>
  <c r="C185"/>
  <c r="U166"/>
  <c r="T167" s="1"/>
  <c r="V166"/>
  <c r="W166" s="1"/>
  <c r="AB166" s="1"/>
  <c r="P183"/>
  <c r="O184" l="1"/>
  <c r="I185"/>
  <c r="X185"/>
  <c r="K185"/>
  <c r="M185" s="1"/>
  <c r="N185" s="1"/>
  <c r="C186"/>
  <c r="P184"/>
  <c r="U167"/>
  <c r="T168" s="1"/>
  <c r="V167"/>
  <c r="W167" s="1"/>
  <c r="AB167" s="1"/>
  <c r="O185" l="1"/>
  <c r="K186"/>
  <c r="M186" s="1"/>
  <c r="N186" s="1"/>
  <c r="X186"/>
  <c r="I186"/>
  <c r="C187"/>
  <c r="P185"/>
  <c r="U168"/>
  <c r="T169" s="1"/>
  <c r="V168"/>
  <c r="W168" s="1"/>
  <c r="AB168" s="1"/>
  <c r="O186" l="1"/>
  <c r="X187"/>
  <c r="I187"/>
  <c r="K187"/>
  <c r="M187" s="1"/>
  <c r="N187" s="1"/>
  <c r="C188"/>
  <c r="P186"/>
  <c r="U169"/>
  <c r="U170" s="1"/>
  <c r="V169"/>
  <c r="W169" s="1"/>
  <c r="AB169" s="1"/>
  <c r="O187" l="1"/>
  <c r="K188"/>
  <c r="M188" s="1"/>
  <c r="N188" s="1"/>
  <c r="X188"/>
  <c r="I188"/>
  <c r="C189"/>
  <c r="P187"/>
  <c r="O188" l="1"/>
  <c r="X189"/>
  <c r="I189"/>
  <c r="K189"/>
  <c r="M189" s="1"/>
  <c r="N189" s="1"/>
  <c r="P188"/>
  <c r="O189" l="1"/>
  <c r="N190"/>
  <c r="N191" s="1"/>
  <c r="P189"/>
  <c r="P191" s="1"/>
  <c r="Y190" l="1"/>
  <c r="Y189" s="1"/>
  <c r="AD189" s="1"/>
  <c r="AE191"/>
  <c r="AE190" s="1"/>
  <c r="AE189" s="1"/>
  <c r="AE188" s="1"/>
  <c r="AE187" s="1"/>
  <c r="AE186" s="1"/>
  <c r="AE185" s="1"/>
  <c r="AE184" s="1"/>
  <c r="AE183" s="1"/>
  <c r="AE182" s="1"/>
  <c r="AE181" s="1"/>
  <c r="AE180" s="1"/>
  <c r="AC180"/>
  <c r="AC181" s="1"/>
  <c r="AC182" s="1"/>
  <c r="AC183" s="1"/>
  <c r="AC184" s="1"/>
  <c r="AC185" s="1"/>
  <c r="AC186" s="1"/>
  <c r="AC187" s="1"/>
  <c r="AC188" s="1"/>
  <c r="AC189" s="1"/>
  <c r="R189"/>
  <c r="S189"/>
  <c r="Z189" l="1"/>
  <c r="Y188"/>
  <c r="AD188" s="1"/>
  <c r="E189"/>
  <c r="D189" s="1"/>
  <c r="Q188"/>
  <c r="H189" l="1"/>
  <c r="G189"/>
  <c r="R188"/>
  <c r="S188"/>
  <c r="Z188"/>
  <c r="Y187"/>
  <c r="AD187" s="1"/>
  <c r="E188" l="1"/>
  <c r="D188" s="1"/>
  <c r="Q187"/>
  <c r="Z187"/>
  <c r="Y186"/>
  <c r="AD186" s="1"/>
  <c r="H188" l="1"/>
  <c r="G188"/>
  <c r="Z186"/>
  <c r="Y185"/>
  <c r="AD185" s="1"/>
  <c r="R187"/>
  <c r="S187"/>
  <c r="E187" l="1"/>
  <c r="D187" s="1"/>
  <c r="Q186"/>
  <c r="Y184"/>
  <c r="AD184" s="1"/>
  <c r="Z185"/>
  <c r="Y183" l="1"/>
  <c r="AD183" s="1"/>
  <c r="Z184"/>
  <c r="H187"/>
  <c r="G187"/>
  <c r="R186"/>
  <c r="S186"/>
  <c r="Q185" l="1"/>
  <c r="E186"/>
  <c r="D186" s="1"/>
  <c r="Y182"/>
  <c r="AD182" s="1"/>
  <c r="Z183"/>
  <c r="Y181" l="1"/>
  <c r="AD181" s="1"/>
  <c r="Z182"/>
  <c r="R185"/>
  <c r="S185"/>
  <c r="H186"/>
  <c r="G186"/>
  <c r="Q184" l="1"/>
  <c r="E185"/>
  <c r="D185" s="1"/>
  <c r="Y180"/>
  <c r="AD180" s="1"/>
  <c r="Z181"/>
  <c r="Z180" l="1"/>
  <c r="R184"/>
  <c r="S184"/>
  <c r="G185"/>
  <c r="H185"/>
  <c r="Q183" l="1"/>
  <c r="E184"/>
  <c r="D184" s="1"/>
  <c r="R183" l="1"/>
  <c r="S183"/>
  <c r="G184"/>
  <c r="H184"/>
  <c r="Q182" l="1"/>
  <c r="E183"/>
  <c r="D183" s="1"/>
  <c r="R182" l="1"/>
  <c r="S182"/>
  <c r="G183"/>
  <c r="H183"/>
  <c r="Q181" l="1"/>
  <c r="E182"/>
  <c r="D182" s="1"/>
  <c r="R181" l="1"/>
  <c r="S181"/>
  <c r="G182"/>
  <c r="H182"/>
  <c r="Q180" l="1"/>
  <c r="E181"/>
  <c r="D181" s="1"/>
  <c r="R180" l="1"/>
  <c r="E180" s="1"/>
  <c r="D180" s="1"/>
  <c r="S180"/>
  <c r="G181"/>
  <c r="H181"/>
  <c r="G180" l="1"/>
  <c r="H180"/>
  <c r="T180" s="1"/>
  <c r="U180" l="1"/>
  <c r="T181" s="1"/>
  <c r="V180"/>
  <c r="W180" s="1"/>
  <c r="AB180" s="1"/>
  <c r="C200" l="1"/>
  <c r="U181"/>
  <c r="T182" s="1"/>
  <c r="V181"/>
  <c r="W181" s="1"/>
  <c r="AB181" s="1"/>
  <c r="X200" l="1"/>
  <c r="K200"/>
  <c r="M200" s="1"/>
  <c r="N200" s="1"/>
  <c r="I200"/>
  <c r="C201"/>
  <c r="U182"/>
  <c r="T183" s="1"/>
  <c r="V182"/>
  <c r="W182" s="1"/>
  <c r="AB182" s="1"/>
  <c r="O200" l="1"/>
  <c r="X201"/>
  <c r="I201"/>
  <c r="K201"/>
  <c r="M201" s="1"/>
  <c r="N201" s="1"/>
  <c r="C202"/>
  <c r="U183"/>
  <c r="T184" s="1"/>
  <c r="V183"/>
  <c r="W183" s="1"/>
  <c r="AB183" s="1"/>
  <c r="P200"/>
  <c r="O201" l="1"/>
  <c r="K202"/>
  <c r="M202" s="1"/>
  <c r="N202" s="1"/>
  <c r="X202"/>
  <c r="I202"/>
  <c r="C203"/>
  <c r="P201"/>
  <c r="U184"/>
  <c r="T185" s="1"/>
  <c r="V184"/>
  <c r="W184" s="1"/>
  <c r="AB184" s="1"/>
  <c r="O202" l="1"/>
  <c r="K203"/>
  <c r="M203" s="1"/>
  <c r="N203" s="1"/>
  <c r="I203"/>
  <c r="X203"/>
  <c r="C204"/>
  <c r="P202"/>
  <c r="U185"/>
  <c r="T186" s="1"/>
  <c r="V185"/>
  <c r="W185" s="1"/>
  <c r="AB185" s="1"/>
  <c r="O203" l="1"/>
  <c r="I204"/>
  <c r="X204"/>
  <c r="K204"/>
  <c r="M204" s="1"/>
  <c r="N204" s="1"/>
  <c r="C205"/>
  <c r="U186"/>
  <c r="T187" s="1"/>
  <c r="V186"/>
  <c r="W186" s="1"/>
  <c r="AB186" s="1"/>
  <c r="P203"/>
  <c r="O204" l="1"/>
  <c r="I205"/>
  <c r="X205"/>
  <c r="K205"/>
  <c r="M205" s="1"/>
  <c r="N205" s="1"/>
  <c r="C206"/>
  <c r="P204"/>
  <c r="U187"/>
  <c r="T188" s="1"/>
  <c r="V187"/>
  <c r="W187" s="1"/>
  <c r="AB187" s="1"/>
  <c r="O205" l="1"/>
  <c r="K206"/>
  <c r="M206" s="1"/>
  <c r="N206" s="1"/>
  <c r="I206"/>
  <c r="X206"/>
  <c r="C207"/>
  <c r="U188"/>
  <c r="T189" s="1"/>
  <c r="V188"/>
  <c r="W188" s="1"/>
  <c r="AB188" s="1"/>
  <c r="P205"/>
  <c r="O206" l="1"/>
  <c r="I207"/>
  <c r="X207"/>
  <c r="K207"/>
  <c r="M207" s="1"/>
  <c r="N207" s="1"/>
  <c r="C208"/>
  <c r="P206"/>
  <c r="U189"/>
  <c r="U190" s="1"/>
  <c r="V189"/>
  <c r="W189" s="1"/>
  <c r="AB189" s="1"/>
  <c r="O207" l="1"/>
  <c r="K208"/>
  <c r="M208" s="1"/>
  <c r="N208" s="1"/>
  <c r="I208"/>
  <c r="X208"/>
  <c r="C209"/>
  <c r="P207"/>
  <c r="O208" l="1"/>
  <c r="I209"/>
  <c r="X209"/>
  <c r="K209"/>
  <c r="M209" s="1"/>
  <c r="N209" s="1"/>
  <c r="P208"/>
  <c r="O209" l="1"/>
  <c r="N210"/>
  <c r="N211" s="1"/>
  <c r="P209"/>
  <c r="P211" s="1"/>
  <c r="AE211" l="1"/>
  <c r="AE210" s="1"/>
  <c r="AE209" s="1"/>
  <c r="AE208" s="1"/>
  <c r="AE207" s="1"/>
  <c r="AE206" s="1"/>
  <c r="AE205" s="1"/>
  <c r="AE204" s="1"/>
  <c r="AE203" s="1"/>
  <c r="AE202" s="1"/>
  <c r="AE201" s="1"/>
  <c r="AE200" s="1"/>
  <c r="Y210"/>
  <c r="Y209" s="1"/>
  <c r="AD209" s="1"/>
  <c r="AC200"/>
  <c r="AC201" s="1"/>
  <c r="AC202" s="1"/>
  <c r="AC203" s="1"/>
  <c r="AC204" s="1"/>
  <c r="AC205" s="1"/>
  <c r="AC206" s="1"/>
  <c r="AC207" s="1"/>
  <c r="AC208" s="1"/>
  <c r="AC209" s="1"/>
  <c r="R209"/>
  <c r="S209"/>
  <c r="Q208" l="1"/>
  <c r="E209"/>
  <c r="D209" s="1"/>
  <c r="Y208"/>
  <c r="AD208" s="1"/>
  <c r="Z209"/>
  <c r="Y207" l="1"/>
  <c r="AD207" s="1"/>
  <c r="Z208"/>
  <c r="R208"/>
  <c r="S208"/>
  <c r="G209"/>
  <c r="H209"/>
  <c r="Q207" l="1"/>
  <c r="E208"/>
  <c r="D208" s="1"/>
  <c r="Y206"/>
  <c r="AD206" s="1"/>
  <c r="Z207"/>
  <c r="Y205" l="1"/>
  <c r="AD205" s="1"/>
  <c r="Z206"/>
  <c r="R207"/>
  <c r="S207"/>
  <c r="G208"/>
  <c r="H208"/>
  <c r="Q206" l="1"/>
  <c r="E207"/>
  <c r="D207" s="1"/>
  <c r="Y204"/>
  <c r="AD204" s="1"/>
  <c r="Z205"/>
  <c r="Y203" l="1"/>
  <c r="AD203" s="1"/>
  <c r="Z204"/>
  <c r="R206"/>
  <c r="S206"/>
  <c r="G207"/>
  <c r="H207"/>
  <c r="Q205" l="1"/>
  <c r="E206"/>
  <c r="D206" s="1"/>
  <c r="Y202"/>
  <c r="AD202" s="1"/>
  <c r="Z203"/>
  <c r="Y201" l="1"/>
  <c r="AD201" s="1"/>
  <c r="Z202"/>
  <c r="R205"/>
  <c r="S205"/>
  <c r="G206"/>
  <c r="H206"/>
  <c r="Q204" l="1"/>
  <c r="E205"/>
  <c r="D205" s="1"/>
  <c r="Y200"/>
  <c r="AD200" s="1"/>
  <c r="Z201"/>
  <c r="Z200" l="1"/>
  <c r="R204"/>
  <c r="S204"/>
  <c r="G205"/>
  <c r="H205"/>
  <c r="Q203" l="1"/>
  <c r="E204"/>
  <c r="D204" s="1"/>
  <c r="R203" l="1"/>
  <c r="S203"/>
  <c r="G204"/>
  <c r="H204"/>
  <c r="Q202" l="1"/>
  <c r="E203"/>
  <c r="D203" s="1"/>
  <c r="G203" l="1"/>
  <c r="H203"/>
  <c r="R202"/>
  <c r="S202"/>
  <c r="Q201" l="1"/>
  <c r="E202"/>
  <c r="D202" s="1"/>
  <c r="R201" l="1"/>
  <c r="S201"/>
  <c r="G202"/>
  <c r="H202"/>
  <c r="Q200" l="1"/>
  <c r="E201"/>
  <c r="D201" s="1"/>
  <c r="G201" l="1"/>
  <c r="H201"/>
  <c r="R200"/>
  <c r="E200" s="1"/>
  <c r="D200" s="1"/>
  <c r="S200"/>
  <c r="G200" l="1"/>
  <c r="H200"/>
  <c r="T200" s="1"/>
  <c r="U200" l="1"/>
  <c r="T201" s="1"/>
  <c r="V200"/>
  <c r="W200" s="1"/>
  <c r="AB200" s="1"/>
  <c r="C220" l="1"/>
  <c r="U201"/>
  <c r="T202" s="1"/>
  <c r="V201"/>
  <c r="W201" s="1"/>
  <c r="AB201" s="1"/>
  <c r="K220" l="1"/>
  <c r="M220" s="1"/>
  <c r="N220" s="1"/>
  <c r="X220"/>
  <c r="I220"/>
  <c r="C221"/>
  <c r="U202"/>
  <c r="T203" s="1"/>
  <c r="V202"/>
  <c r="W202" s="1"/>
  <c r="AB202" s="1"/>
  <c r="O220" l="1"/>
  <c r="X221"/>
  <c r="I221"/>
  <c r="K221"/>
  <c r="M221" s="1"/>
  <c r="N221" s="1"/>
  <c r="C222"/>
  <c r="P220"/>
  <c r="U203"/>
  <c r="T204" s="1"/>
  <c r="V203"/>
  <c r="W203" s="1"/>
  <c r="AB203" s="1"/>
  <c r="O221" l="1"/>
  <c r="K222"/>
  <c r="M222" s="1"/>
  <c r="N222" s="1"/>
  <c r="X222"/>
  <c r="I222"/>
  <c r="C223"/>
  <c r="U204"/>
  <c r="T205" s="1"/>
  <c r="V204"/>
  <c r="W204" s="1"/>
  <c r="AB204" s="1"/>
  <c r="P221"/>
  <c r="O222" l="1"/>
  <c r="X223"/>
  <c r="I223"/>
  <c r="K223"/>
  <c r="M223" s="1"/>
  <c r="N223" s="1"/>
  <c r="C224"/>
  <c r="P222"/>
  <c r="U205"/>
  <c r="T206" s="1"/>
  <c r="V205"/>
  <c r="W205" s="1"/>
  <c r="AB205" s="1"/>
  <c r="O223" l="1"/>
  <c r="K224"/>
  <c r="M224" s="1"/>
  <c r="N224" s="1"/>
  <c r="C225"/>
  <c r="I224"/>
  <c r="X224"/>
  <c r="U206"/>
  <c r="T207" s="1"/>
  <c r="V206"/>
  <c r="W206" s="1"/>
  <c r="AB206" s="1"/>
  <c r="P223"/>
  <c r="O224" l="1"/>
  <c r="X225"/>
  <c r="I225"/>
  <c r="K225"/>
  <c r="M225" s="1"/>
  <c r="N225" s="1"/>
  <c r="P224"/>
  <c r="U207"/>
  <c r="T208" s="1"/>
  <c r="V207"/>
  <c r="W207" s="1"/>
  <c r="AB207" s="1"/>
  <c r="O225" l="1"/>
  <c r="C226"/>
  <c r="C227"/>
  <c r="U208"/>
  <c r="T209" s="1"/>
  <c r="V208"/>
  <c r="W208" s="1"/>
  <c r="AB208" s="1"/>
  <c r="P225"/>
  <c r="I226" l="1"/>
  <c r="K226"/>
  <c r="M226" s="1"/>
  <c r="N226" s="1"/>
  <c r="X226"/>
  <c r="X227"/>
  <c r="I227"/>
  <c r="C228"/>
  <c r="U209"/>
  <c r="U210" s="1"/>
  <c r="V209"/>
  <c r="W209" s="1"/>
  <c r="AB209" s="1"/>
  <c r="O226" l="1"/>
  <c r="P226"/>
  <c r="K227"/>
  <c r="M227" s="1"/>
  <c r="N227" s="1"/>
  <c r="X228"/>
  <c r="I228"/>
  <c r="C229"/>
  <c r="O227" l="1"/>
  <c r="P227"/>
  <c r="K228"/>
  <c r="M228" s="1"/>
  <c r="N228" s="1"/>
  <c r="X229"/>
  <c r="I229"/>
  <c r="O228" l="1"/>
  <c r="K229"/>
  <c r="M229" s="1"/>
  <c r="N229" s="1"/>
  <c r="P228"/>
  <c r="O229" l="1"/>
  <c r="S229" s="1"/>
  <c r="N230"/>
  <c r="N231" s="1"/>
  <c r="Y230" s="1"/>
  <c r="Y229" s="1"/>
  <c r="AD229" s="1"/>
  <c r="P229"/>
  <c r="P231" s="1"/>
  <c r="R229" l="1"/>
  <c r="E229" s="1"/>
  <c r="D229" s="1"/>
  <c r="AE231"/>
  <c r="AE230" s="1"/>
  <c r="AE229" s="1"/>
  <c r="AE228" s="1"/>
  <c r="AE227" s="1"/>
  <c r="AE226" s="1"/>
  <c r="AE225" s="1"/>
  <c r="AE224" s="1"/>
  <c r="AE223" s="1"/>
  <c r="AE222" s="1"/>
  <c r="AE221" s="1"/>
  <c r="AE220" s="1"/>
  <c r="AC220"/>
  <c r="AC221" s="1"/>
  <c r="AC222" s="1"/>
  <c r="AC223" s="1"/>
  <c r="AC224" s="1"/>
  <c r="AC225" s="1"/>
  <c r="AC226" s="1"/>
  <c r="AC227" s="1"/>
  <c r="AC228" s="1"/>
  <c r="AC229" s="1"/>
  <c r="Z229"/>
  <c r="Y228"/>
  <c r="AD228" s="1"/>
  <c r="Q228" l="1"/>
  <c r="R228" s="1"/>
  <c r="H229"/>
  <c r="G229"/>
  <c r="Z228"/>
  <c r="Y227"/>
  <c r="AD227" s="1"/>
  <c r="S228" l="1"/>
  <c r="Z227"/>
  <c r="Y226"/>
  <c r="AD226" s="1"/>
  <c r="E228"/>
  <c r="D228" s="1"/>
  <c r="Q227"/>
  <c r="R227" l="1"/>
  <c r="S227"/>
  <c r="H228"/>
  <c r="G228"/>
  <c r="Z226"/>
  <c r="Y225"/>
  <c r="AD225" s="1"/>
  <c r="E227" l="1"/>
  <c r="D227" s="1"/>
  <c r="Q226"/>
  <c r="Z225"/>
  <c r="Y224"/>
  <c r="AD224" s="1"/>
  <c r="Z224" l="1"/>
  <c r="Y223"/>
  <c r="AD223" s="1"/>
  <c r="H227"/>
  <c r="G227"/>
  <c r="R226"/>
  <c r="S226"/>
  <c r="E226" l="1"/>
  <c r="D226" s="1"/>
  <c r="Q225"/>
  <c r="Z223"/>
  <c r="Y222"/>
  <c r="AD222" s="1"/>
  <c r="Z222" l="1"/>
  <c r="Y221"/>
  <c r="AD221" s="1"/>
  <c r="H226"/>
  <c r="G226"/>
  <c r="R225"/>
  <c r="S225"/>
  <c r="E225" l="1"/>
  <c r="D225" s="1"/>
  <c r="Q224"/>
  <c r="Z221"/>
  <c r="Y220"/>
  <c r="AD220" s="1"/>
  <c r="Z220" l="1"/>
  <c r="H225"/>
  <c r="G225"/>
  <c r="R224"/>
  <c r="S224"/>
  <c r="E224" l="1"/>
  <c r="D224" s="1"/>
  <c r="Q223"/>
  <c r="H224" l="1"/>
  <c r="G224"/>
  <c r="R223"/>
  <c r="S223"/>
  <c r="E223" l="1"/>
  <c r="D223" s="1"/>
  <c r="Q222"/>
  <c r="H223" l="1"/>
  <c r="G223"/>
  <c r="R222"/>
  <c r="S222"/>
  <c r="E222" l="1"/>
  <c r="D222" s="1"/>
  <c r="Q221"/>
  <c r="H222" l="1"/>
  <c r="G222"/>
  <c r="R221"/>
  <c r="S221"/>
  <c r="E221" l="1"/>
  <c r="D221" s="1"/>
  <c r="Q220"/>
  <c r="H221" l="1"/>
  <c r="G221"/>
  <c r="R220"/>
  <c r="E220" s="1"/>
  <c r="D220" s="1"/>
  <c r="S220"/>
  <c r="H220" l="1"/>
  <c r="T220" s="1"/>
  <c r="G220"/>
  <c r="U220" l="1"/>
  <c r="T221" s="1"/>
  <c r="V220"/>
  <c r="W220" s="1"/>
  <c r="AB220" s="1"/>
  <c r="C240" l="1"/>
  <c r="U221"/>
  <c r="T222" s="1"/>
  <c r="V221"/>
  <c r="W221" s="1"/>
  <c r="AB221" s="1"/>
  <c r="X240" l="1"/>
  <c r="K240"/>
  <c r="M240" s="1"/>
  <c r="N240" s="1"/>
  <c r="I240"/>
  <c r="C241"/>
  <c r="U222"/>
  <c r="T223" s="1"/>
  <c r="V222"/>
  <c r="W222" s="1"/>
  <c r="AB222" s="1"/>
  <c r="O240" l="1"/>
  <c r="I241"/>
  <c r="X241"/>
  <c r="K241"/>
  <c r="M241" s="1"/>
  <c r="N241" s="1"/>
  <c r="C242"/>
  <c r="U223"/>
  <c r="T224" s="1"/>
  <c r="V223"/>
  <c r="W223" s="1"/>
  <c r="AB223" s="1"/>
  <c r="P240"/>
  <c r="O241" l="1"/>
  <c r="I242"/>
  <c r="X242"/>
  <c r="K242"/>
  <c r="M242" s="1"/>
  <c r="N242" s="1"/>
  <c r="C243"/>
  <c r="P241"/>
  <c r="U224"/>
  <c r="T225" s="1"/>
  <c r="V224"/>
  <c r="W224" s="1"/>
  <c r="AB224" s="1"/>
  <c r="O242" l="1"/>
  <c r="K243"/>
  <c r="M243" s="1"/>
  <c r="N243" s="1"/>
  <c r="X243"/>
  <c r="I243"/>
  <c r="C244"/>
  <c r="P242"/>
  <c r="U225"/>
  <c r="T226" s="1"/>
  <c r="V225"/>
  <c r="W225" s="1"/>
  <c r="AB225" s="1"/>
  <c r="O243" l="1"/>
  <c r="I244"/>
  <c r="X244"/>
  <c r="K244"/>
  <c r="M244" s="1"/>
  <c r="N244" s="1"/>
  <c r="C245"/>
  <c r="P243"/>
  <c r="U226"/>
  <c r="T227" s="1"/>
  <c r="V226"/>
  <c r="W226" s="1"/>
  <c r="AB226" s="1"/>
  <c r="O244" l="1"/>
  <c r="I245"/>
  <c r="X245"/>
  <c r="K245"/>
  <c r="M245" s="1"/>
  <c r="N245" s="1"/>
  <c r="C246"/>
  <c r="U227"/>
  <c r="T228" s="1"/>
  <c r="V227"/>
  <c r="W227" s="1"/>
  <c r="AB227" s="1"/>
  <c r="P244"/>
  <c r="O245" l="1"/>
  <c r="K246"/>
  <c r="M246" s="1"/>
  <c r="N246" s="1"/>
  <c r="X246"/>
  <c r="I246"/>
  <c r="C247"/>
  <c r="P245"/>
  <c r="U228"/>
  <c r="T229" s="1"/>
  <c r="V228"/>
  <c r="W228" s="1"/>
  <c r="AB228" s="1"/>
  <c r="O246" l="1"/>
  <c r="K247"/>
  <c r="M247" s="1"/>
  <c r="N247" s="1"/>
  <c r="I247"/>
  <c r="X247"/>
  <c r="C248"/>
  <c r="P246"/>
  <c r="U229"/>
  <c r="U230" s="1"/>
  <c r="V229"/>
  <c r="W229" s="1"/>
  <c r="AB229" s="1"/>
  <c r="O247" l="1"/>
  <c r="I248"/>
  <c r="X248"/>
  <c r="K248"/>
  <c r="M248" s="1"/>
  <c r="N248" s="1"/>
  <c r="C249"/>
  <c r="P247"/>
  <c r="O248" l="1"/>
  <c r="I249"/>
  <c r="X249"/>
  <c r="K249"/>
  <c r="M249" s="1"/>
  <c r="N249" s="1"/>
  <c r="P248"/>
  <c r="O249" l="1"/>
  <c r="N250"/>
  <c r="N251" s="1"/>
  <c r="P249"/>
  <c r="P251" s="1"/>
  <c r="AE251" l="1"/>
  <c r="AE250" s="1"/>
  <c r="AE249" s="1"/>
  <c r="AE248" s="1"/>
  <c r="AE247" s="1"/>
  <c r="AE246" s="1"/>
  <c r="AE245" s="1"/>
  <c r="AE244" s="1"/>
  <c r="AE243" s="1"/>
  <c r="AE242" s="1"/>
  <c r="AE241" s="1"/>
  <c r="AE240" s="1"/>
  <c r="Y250"/>
  <c r="Y249" s="1"/>
  <c r="AD249" s="1"/>
  <c r="AC240"/>
  <c r="AC241" s="1"/>
  <c r="AC242" s="1"/>
  <c r="AC243" s="1"/>
  <c r="AC244" s="1"/>
  <c r="AC245" s="1"/>
  <c r="AC246" s="1"/>
  <c r="AC247" s="1"/>
  <c r="AC248" s="1"/>
  <c r="AC249" s="1"/>
  <c r="R249"/>
  <c r="S249"/>
  <c r="Q248" l="1"/>
  <c r="E249"/>
  <c r="D249" s="1"/>
  <c r="Y248"/>
  <c r="AD248" s="1"/>
  <c r="Z249"/>
  <c r="Y247" l="1"/>
  <c r="AD247" s="1"/>
  <c r="Z248"/>
  <c r="R248"/>
  <c r="S248"/>
  <c r="G249"/>
  <c r="H249"/>
  <c r="Q247" l="1"/>
  <c r="E248"/>
  <c r="D248" s="1"/>
  <c r="Y246"/>
  <c r="AD246" s="1"/>
  <c r="Z247"/>
  <c r="Y245" l="1"/>
  <c r="AD245" s="1"/>
  <c r="Z246"/>
  <c r="R247"/>
  <c r="S247"/>
  <c r="G248"/>
  <c r="H248"/>
  <c r="Q246" l="1"/>
  <c r="E247"/>
  <c r="D247" s="1"/>
  <c r="Y244"/>
  <c r="AD244" s="1"/>
  <c r="Z245"/>
  <c r="Y243" l="1"/>
  <c r="AD243" s="1"/>
  <c r="Z244"/>
  <c r="R246"/>
  <c r="S246"/>
  <c r="G247"/>
  <c r="H247"/>
  <c r="Q245" l="1"/>
  <c r="E246"/>
  <c r="D246" s="1"/>
  <c r="Y242"/>
  <c r="AD242" s="1"/>
  <c r="Z243"/>
  <c r="Y241" l="1"/>
  <c r="AD241" s="1"/>
  <c r="Z242"/>
  <c r="R245"/>
  <c r="S245"/>
  <c r="G246"/>
  <c r="H246"/>
  <c r="Q244" l="1"/>
  <c r="E245"/>
  <c r="D245" s="1"/>
  <c r="Y240"/>
  <c r="AD240" s="1"/>
  <c r="Z241"/>
  <c r="Z240" l="1"/>
  <c r="R244"/>
  <c r="S244"/>
  <c r="G245"/>
  <c r="H245"/>
  <c r="Q243" l="1"/>
  <c r="E244"/>
  <c r="D244" s="1"/>
  <c r="G244" l="1"/>
  <c r="H244"/>
  <c r="R243"/>
  <c r="S243"/>
  <c r="Q242" l="1"/>
  <c r="E243"/>
  <c r="D243" s="1"/>
  <c r="R242" l="1"/>
  <c r="S242"/>
  <c r="G243"/>
  <c r="H243"/>
  <c r="Q241" l="1"/>
  <c r="E242"/>
  <c r="D242" s="1"/>
  <c r="R241" l="1"/>
  <c r="S241"/>
  <c r="G242"/>
  <c r="H242"/>
  <c r="Q240" l="1"/>
  <c r="E241"/>
  <c r="D241" s="1"/>
  <c r="G241" l="1"/>
  <c r="H241"/>
  <c r="R240"/>
  <c r="E240" s="1"/>
  <c r="D240" s="1"/>
  <c r="S240"/>
  <c r="G240" l="1"/>
  <c r="H240"/>
  <c r="T240" s="1"/>
  <c r="U240" l="1"/>
  <c r="T241" s="1"/>
  <c r="V240"/>
  <c r="W240" s="1"/>
  <c r="AB240" s="1"/>
  <c r="C260" l="1"/>
  <c r="U241"/>
  <c r="T242" s="1"/>
  <c r="V241"/>
  <c r="W241" s="1"/>
  <c r="AB241" s="1"/>
  <c r="K260" l="1"/>
  <c r="M260" s="1"/>
  <c r="N260" s="1"/>
  <c r="X260"/>
  <c r="I260"/>
  <c r="C261"/>
  <c r="U242"/>
  <c r="T243" s="1"/>
  <c r="V242"/>
  <c r="W242" s="1"/>
  <c r="AB242" s="1"/>
  <c r="O260" l="1"/>
  <c r="I261"/>
  <c r="X261"/>
  <c r="K261"/>
  <c r="M261" s="1"/>
  <c r="N261" s="1"/>
  <c r="C262"/>
  <c r="P260"/>
  <c r="U243"/>
  <c r="T244" s="1"/>
  <c r="V243"/>
  <c r="W243" s="1"/>
  <c r="AB243" s="1"/>
  <c r="O261" l="1"/>
  <c r="K262"/>
  <c r="M262" s="1"/>
  <c r="N262" s="1"/>
  <c r="X262"/>
  <c r="I262"/>
  <c r="C263"/>
  <c r="U244"/>
  <c r="T245" s="1"/>
  <c r="V244"/>
  <c r="W244" s="1"/>
  <c r="AB244" s="1"/>
  <c r="P261"/>
  <c r="O262" l="1"/>
  <c r="X263"/>
  <c r="I263"/>
  <c r="K263"/>
  <c r="M263" s="1"/>
  <c r="N263" s="1"/>
  <c r="C264"/>
  <c r="P262"/>
  <c r="U245"/>
  <c r="T246" s="1"/>
  <c r="V245"/>
  <c r="W245" s="1"/>
  <c r="AB245" s="1"/>
  <c r="O263" l="1"/>
  <c r="K264"/>
  <c r="M264" s="1"/>
  <c r="N264" s="1"/>
  <c r="I264"/>
  <c r="C265"/>
  <c r="X264"/>
  <c r="U246"/>
  <c r="T247" s="1"/>
  <c r="V246"/>
  <c r="W246" s="1"/>
  <c r="AB246" s="1"/>
  <c r="P263"/>
  <c r="O264" l="1"/>
  <c r="X265"/>
  <c r="I265"/>
  <c r="K265"/>
  <c r="M265" s="1"/>
  <c r="N265" s="1"/>
  <c r="C266"/>
  <c r="P264"/>
  <c r="U247"/>
  <c r="T248" s="1"/>
  <c r="V247"/>
  <c r="W247" s="1"/>
  <c r="AB247" s="1"/>
  <c r="O265" l="1"/>
  <c r="X266"/>
  <c r="I266"/>
  <c r="K266"/>
  <c r="M266" s="1"/>
  <c r="N266" s="1"/>
  <c r="C267"/>
  <c r="U248"/>
  <c r="T249" s="1"/>
  <c r="V248"/>
  <c r="W248" s="1"/>
  <c r="AB248" s="1"/>
  <c r="P265"/>
  <c r="O266" l="1"/>
  <c r="X267"/>
  <c r="K267"/>
  <c r="M267" s="1"/>
  <c r="N267" s="1"/>
  <c r="I267"/>
  <c r="C268"/>
  <c r="P266"/>
  <c r="U249"/>
  <c r="U250" s="1"/>
  <c r="V249"/>
  <c r="W249" s="1"/>
  <c r="AB249" s="1"/>
  <c r="O267" l="1"/>
  <c r="K268"/>
  <c r="M268" s="1"/>
  <c r="N268" s="1"/>
  <c r="I268"/>
  <c r="X268"/>
  <c r="C269"/>
  <c r="P267"/>
  <c r="O268" l="1"/>
  <c r="X269"/>
  <c r="I269"/>
  <c r="K269"/>
  <c r="M269" s="1"/>
  <c r="N269" s="1"/>
  <c r="P268"/>
  <c r="O269" l="1"/>
  <c r="N270"/>
  <c r="N271" s="1"/>
  <c r="P269"/>
  <c r="P271" s="1"/>
  <c r="Y270" l="1"/>
  <c r="Y269" s="1"/>
  <c r="AD269" s="1"/>
  <c r="AE271"/>
  <c r="AE270" s="1"/>
  <c r="AE269" s="1"/>
  <c r="AE268" s="1"/>
  <c r="AE267" s="1"/>
  <c r="AE266" s="1"/>
  <c r="AE265" s="1"/>
  <c r="AE264" s="1"/>
  <c r="AE263" s="1"/>
  <c r="AE262" s="1"/>
  <c r="AE261" s="1"/>
  <c r="AE260" s="1"/>
  <c r="AC260"/>
  <c r="AC261" s="1"/>
  <c r="AC262" s="1"/>
  <c r="AC263" s="1"/>
  <c r="AC264" s="1"/>
  <c r="AC265" s="1"/>
  <c r="AC266" s="1"/>
  <c r="AC267" s="1"/>
  <c r="AC268" s="1"/>
  <c r="AC269" s="1"/>
  <c r="R269"/>
  <c r="S269"/>
  <c r="Z269" l="1"/>
  <c r="Y268"/>
  <c r="AD268" s="1"/>
  <c r="E269"/>
  <c r="D269" s="1"/>
  <c r="Q268"/>
  <c r="Z268" l="1"/>
  <c r="Y267"/>
  <c r="AD267" s="1"/>
  <c r="H269"/>
  <c r="G269"/>
  <c r="R268"/>
  <c r="S268"/>
  <c r="E268" l="1"/>
  <c r="D268" s="1"/>
  <c r="Q267"/>
  <c r="Z267"/>
  <c r="Y266"/>
  <c r="AD266" s="1"/>
  <c r="Z266" l="1"/>
  <c r="Y265"/>
  <c r="AD265" s="1"/>
  <c r="H268"/>
  <c r="G268"/>
  <c r="R267"/>
  <c r="S267"/>
  <c r="E267" l="1"/>
  <c r="D267" s="1"/>
  <c r="Q266"/>
  <c r="Z265"/>
  <c r="Y264"/>
  <c r="AD264" s="1"/>
  <c r="H267" l="1"/>
  <c r="G267"/>
  <c r="Z264"/>
  <c r="Y263"/>
  <c r="AD263" s="1"/>
  <c r="R266"/>
  <c r="S266"/>
  <c r="Z263" l="1"/>
  <c r="Y262"/>
  <c r="AD262" s="1"/>
  <c r="E266"/>
  <c r="D266" s="1"/>
  <c r="Q265"/>
  <c r="R265" l="1"/>
  <c r="S265"/>
  <c r="H266"/>
  <c r="G266"/>
  <c r="Z262"/>
  <c r="Y261"/>
  <c r="AD261" s="1"/>
  <c r="E265" l="1"/>
  <c r="D265" s="1"/>
  <c r="Q264"/>
  <c r="Z261"/>
  <c r="Y260"/>
  <c r="AD260" s="1"/>
  <c r="Z260" l="1"/>
  <c r="H265"/>
  <c r="G265"/>
  <c r="R264"/>
  <c r="S264"/>
  <c r="E264" l="1"/>
  <c r="D264" s="1"/>
  <c r="Q263"/>
  <c r="H264" l="1"/>
  <c r="G264"/>
  <c r="R263"/>
  <c r="S263"/>
  <c r="E263" l="1"/>
  <c r="D263" s="1"/>
  <c r="Q262"/>
  <c r="H263" l="1"/>
  <c r="G263"/>
  <c r="R262"/>
  <c r="S262"/>
  <c r="E262" l="1"/>
  <c r="D262" s="1"/>
  <c r="Q261"/>
  <c r="R261" l="1"/>
  <c r="S261"/>
  <c r="H262"/>
  <c r="G262"/>
  <c r="E261" l="1"/>
  <c r="D261" s="1"/>
  <c r="Q260"/>
  <c r="R260" l="1"/>
  <c r="E260" s="1"/>
  <c r="D260" s="1"/>
  <c r="S260"/>
  <c r="H261"/>
  <c r="G261"/>
  <c r="H260" l="1"/>
  <c r="T260" s="1"/>
  <c r="G260"/>
  <c r="U260" l="1"/>
  <c r="T261" s="1"/>
  <c r="V260"/>
  <c r="W260" s="1"/>
  <c r="AB260" s="1"/>
  <c r="C280" l="1"/>
  <c r="U261"/>
  <c r="T262" s="1"/>
  <c r="V261"/>
  <c r="W261" s="1"/>
  <c r="AB261" s="1"/>
  <c r="X280" l="1"/>
  <c r="I280"/>
  <c r="K280"/>
  <c r="M280" s="1"/>
  <c r="N280" s="1"/>
  <c r="C281"/>
  <c r="U262"/>
  <c r="T263" s="1"/>
  <c r="V262"/>
  <c r="W262" s="1"/>
  <c r="AB262" s="1"/>
  <c r="O280" l="1"/>
  <c r="I281"/>
  <c r="X281"/>
  <c r="K281"/>
  <c r="M281" s="1"/>
  <c r="N281" s="1"/>
  <c r="C282"/>
  <c r="U263"/>
  <c r="T264" s="1"/>
  <c r="V263"/>
  <c r="W263" s="1"/>
  <c r="AB263" s="1"/>
  <c r="P280"/>
  <c r="O281" l="1"/>
  <c r="K282"/>
  <c r="M282" s="1"/>
  <c r="N282" s="1"/>
  <c r="X282"/>
  <c r="I282"/>
  <c r="C283"/>
  <c r="P281"/>
  <c r="U264"/>
  <c r="T265" s="1"/>
  <c r="V264"/>
  <c r="W264" s="1"/>
  <c r="AB264" s="1"/>
  <c r="O282" l="1"/>
  <c r="K283"/>
  <c r="M283" s="1"/>
  <c r="N283" s="1"/>
  <c r="X283"/>
  <c r="I283"/>
  <c r="C284"/>
  <c r="P282"/>
  <c r="U265"/>
  <c r="T266" s="1"/>
  <c r="V265"/>
  <c r="W265" s="1"/>
  <c r="AB265" s="1"/>
  <c r="O283" l="1"/>
  <c r="I284"/>
  <c r="X284"/>
  <c r="K284"/>
  <c r="M284" s="1"/>
  <c r="N284" s="1"/>
  <c r="C285"/>
  <c r="U266"/>
  <c r="T267" s="1"/>
  <c r="V266"/>
  <c r="W266" s="1"/>
  <c r="AB266" s="1"/>
  <c r="P283"/>
  <c r="O284" l="1"/>
  <c r="I285"/>
  <c r="X285"/>
  <c r="K285"/>
  <c r="M285" s="1"/>
  <c r="N285" s="1"/>
  <c r="C286"/>
  <c r="P284"/>
  <c r="U267"/>
  <c r="T268" s="1"/>
  <c r="V267"/>
  <c r="W267" s="1"/>
  <c r="AB267" s="1"/>
  <c r="O285" l="1"/>
  <c r="K286"/>
  <c r="M286" s="1"/>
  <c r="N286" s="1"/>
  <c r="I286"/>
  <c r="X286"/>
  <c r="C287"/>
  <c r="P285"/>
  <c r="U268"/>
  <c r="T269" s="1"/>
  <c r="V268"/>
  <c r="W268" s="1"/>
  <c r="AB268" s="1"/>
  <c r="O286" l="1"/>
  <c r="I287"/>
  <c r="X287"/>
  <c r="K287"/>
  <c r="M287" s="1"/>
  <c r="N287" s="1"/>
  <c r="C288"/>
  <c r="U269"/>
  <c r="U270" s="1"/>
  <c r="V269"/>
  <c r="W269" s="1"/>
  <c r="AB269" s="1"/>
  <c r="P286"/>
  <c r="O287" l="1"/>
  <c r="I288"/>
  <c r="X288"/>
  <c r="K288"/>
  <c r="M288" s="1"/>
  <c r="N288" s="1"/>
  <c r="C289"/>
  <c r="P287"/>
  <c r="O288" l="1"/>
  <c r="K289"/>
  <c r="M289" s="1"/>
  <c r="N289" s="1"/>
  <c r="I289"/>
  <c r="X289"/>
  <c r="P288"/>
  <c r="O289" l="1"/>
  <c r="N290"/>
  <c r="N291" s="1"/>
  <c r="P289"/>
  <c r="P291" s="1"/>
  <c r="AE291" l="1"/>
  <c r="AE290" s="1"/>
  <c r="AE289" s="1"/>
  <c r="AE288" s="1"/>
  <c r="AE287" s="1"/>
  <c r="AE286" s="1"/>
  <c r="AE285" s="1"/>
  <c r="AE284" s="1"/>
  <c r="AE283" s="1"/>
  <c r="AE282" s="1"/>
  <c r="AE281" s="1"/>
  <c r="AE280" s="1"/>
  <c r="Y290"/>
  <c r="Y289" s="1"/>
  <c r="AD289" s="1"/>
  <c r="AC280"/>
  <c r="AC281" s="1"/>
  <c r="AC282" s="1"/>
  <c r="AC283" s="1"/>
  <c r="AC284" s="1"/>
  <c r="AC285" s="1"/>
  <c r="AC286" s="1"/>
  <c r="AC287" s="1"/>
  <c r="AC288" s="1"/>
  <c r="AC289" s="1"/>
  <c r="R289"/>
  <c r="S289"/>
  <c r="Q288" l="1"/>
  <c r="E289"/>
  <c r="D289" s="1"/>
  <c r="Y288"/>
  <c r="AD288" s="1"/>
  <c r="Z289"/>
  <c r="Y287" l="1"/>
  <c r="AD287" s="1"/>
  <c r="Z288"/>
  <c r="R288"/>
  <c r="S288"/>
  <c r="G289"/>
  <c r="H289"/>
  <c r="Q287" l="1"/>
  <c r="E288"/>
  <c r="D288" s="1"/>
  <c r="Y286"/>
  <c r="AD286" s="1"/>
  <c r="Z287"/>
  <c r="Y285" l="1"/>
  <c r="AD285" s="1"/>
  <c r="Z286"/>
  <c r="R287"/>
  <c r="S287"/>
  <c r="G288"/>
  <c r="H288"/>
  <c r="Q286" l="1"/>
  <c r="E287"/>
  <c r="D287" s="1"/>
  <c r="Y284"/>
  <c r="AD284" s="1"/>
  <c r="Z285"/>
  <c r="Y283" l="1"/>
  <c r="AD283" s="1"/>
  <c r="Z284"/>
  <c r="R286"/>
  <c r="S286"/>
  <c r="G287"/>
  <c r="H287"/>
  <c r="Q285" l="1"/>
  <c r="E286"/>
  <c r="D286" s="1"/>
  <c r="Y282"/>
  <c r="AD282" s="1"/>
  <c r="Z283"/>
  <c r="Y281" l="1"/>
  <c r="AD281" s="1"/>
  <c r="Z282"/>
  <c r="R285"/>
  <c r="S285"/>
  <c r="G286"/>
  <c r="H286"/>
  <c r="Q284" l="1"/>
  <c r="E285"/>
  <c r="D285" s="1"/>
  <c r="Y280"/>
  <c r="AD280" s="1"/>
  <c r="Z281"/>
  <c r="Z280" l="1"/>
  <c r="R284"/>
  <c r="S284"/>
  <c r="G285"/>
  <c r="H285"/>
  <c r="Q283" l="1"/>
  <c r="E284"/>
  <c r="D284" s="1"/>
  <c r="G284" l="1"/>
  <c r="H284"/>
  <c r="R283"/>
  <c r="S283"/>
  <c r="Q282" l="1"/>
  <c r="E283"/>
  <c r="D283" s="1"/>
  <c r="G283" l="1"/>
  <c r="H283"/>
  <c r="R282"/>
  <c r="S282"/>
  <c r="Q281" l="1"/>
  <c r="E282"/>
  <c r="D282" s="1"/>
  <c r="G282" l="1"/>
  <c r="H282"/>
  <c r="R281"/>
  <c r="S281"/>
  <c r="Q280" l="1"/>
  <c r="E281"/>
  <c r="D281" s="1"/>
  <c r="R280" l="1"/>
  <c r="E280" s="1"/>
  <c r="D280" s="1"/>
  <c r="S280"/>
  <c r="G281"/>
  <c r="H281"/>
  <c r="G280" l="1"/>
  <c r="H280"/>
  <c r="T280" s="1"/>
  <c r="U280" l="1"/>
  <c r="T281" s="1"/>
  <c r="V280"/>
  <c r="W280" s="1"/>
  <c r="AB280" s="1"/>
  <c r="C300" l="1"/>
  <c r="U281"/>
  <c r="T282" s="1"/>
  <c r="V281"/>
  <c r="W281" s="1"/>
  <c r="AB281" s="1"/>
  <c r="K300" l="1"/>
  <c r="M300" s="1"/>
  <c r="N300" s="1"/>
  <c r="X300"/>
  <c r="I300"/>
  <c r="C301"/>
  <c r="U282"/>
  <c r="T283" s="1"/>
  <c r="V282"/>
  <c r="W282" s="1"/>
  <c r="AB282" s="1"/>
  <c r="O300" l="1"/>
  <c r="I301"/>
  <c r="X301"/>
  <c r="K301"/>
  <c r="M301" s="1"/>
  <c r="N301" s="1"/>
  <c r="C302"/>
  <c r="P300"/>
  <c r="U283"/>
  <c r="T284" s="1"/>
  <c r="V283"/>
  <c r="W283" s="1"/>
  <c r="AB283" s="1"/>
  <c r="O301" l="1"/>
  <c r="K302"/>
  <c r="M302" s="1"/>
  <c r="N302" s="1"/>
  <c r="X302"/>
  <c r="I302"/>
  <c r="C303"/>
  <c r="U284"/>
  <c r="T285" s="1"/>
  <c r="V284"/>
  <c r="W284" s="1"/>
  <c r="AB284" s="1"/>
  <c r="P301"/>
  <c r="O302" l="1"/>
  <c r="X303"/>
  <c r="I303"/>
  <c r="K303"/>
  <c r="M303" s="1"/>
  <c r="N303" s="1"/>
  <c r="C304"/>
  <c r="P302"/>
  <c r="U285"/>
  <c r="T286" s="1"/>
  <c r="V285"/>
  <c r="W285" s="1"/>
  <c r="AB285" s="1"/>
  <c r="O303" l="1"/>
  <c r="K304"/>
  <c r="M304" s="1"/>
  <c r="N304" s="1"/>
  <c r="X304"/>
  <c r="I304"/>
  <c r="C305"/>
  <c r="U286"/>
  <c r="T287" s="1"/>
  <c r="V286"/>
  <c r="W286" s="1"/>
  <c r="AB286" s="1"/>
  <c r="P303"/>
  <c r="O304" l="1"/>
  <c r="X305"/>
  <c r="I305"/>
  <c r="K305"/>
  <c r="M305" s="1"/>
  <c r="N305" s="1"/>
  <c r="C306"/>
  <c r="P304"/>
  <c r="U287"/>
  <c r="T288" s="1"/>
  <c r="V287"/>
  <c r="W287" s="1"/>
  <c r="AB287" s="1"/>
  <c r="O305" l="1"/>
  <c r="K306"/>
  <c r="M306" s="1"/>
  <c r="N306" s="1"/>
  <c r="X306"/>
  <c r="I306"/>
  <c r="C307"/>
  <c r="U288"/>
  <c r="T289" s="1"/>
  <c r="V288"/>
  <c r="W288" s="1"/>
  <c r="AB288" s="1"/>
  <c r="P305"/>
  <c r="O306" l="1"/>
  <c r="X307"/>
  <c r="I307"/>
  <c r="K307"/>
  <c r="M307" s="1"/>
  <c r="N307" s="1"/>
  <c r="C308"/>
  <c r="P306"/>
  <c r="U289"/>
  <c r="U290" s="1"/>
  <c r="V289"/>
  <c r="W289" s="1"/>
  <c r="AB289" s="1"/>
  <c r="O307" l="1"/>
  <c r="K308"/>
  <c r="M308" s="1"/>
  <c r="N308" s="1"/>
  <c r="I308"/>
  <c r="X308"/>
  <c r="C309"/>
  <c r="P307"/>
  <c r="O308" l="1"/>
  <c r="X309"/>
  <c r="I309"/>
  <c r="K309"/>
  <c r="M309" s="1"/>
  <c r="N309" s="1"/>
  <c r="P308"/>
  <c r="O309" l="1"/>
  <c r="N310"/>
  <c r="N311" s="1"/>
  <c r="P309"/>
  <c r="P311" s="1"/>
  <c r="Y310" l="1"/>
  <c r="Y309" s="1"/>
  <c r="AD309" s="1"/>
  <c r="AE311"/>
  <c r="AE310" s="1"/>
  <c r="AE309" s="1"/>
  <c r="AE308" s="1"/>
  <c r="AE307" s="1"/>
  <c r="AE306" s="1"/>
  <c r="AE305" s="1"/>
  <c r="AE304" s="1"/>
  <c r="AE303" s="1"/>
  <c r="AE302" s="1"/>
  <c r="AE301" s="1"/>
  <c r="AE300" s="1"/>
  <c r="AC300"/>
  <c r="AC301" s="1"/>
  <c r="AC302" s="1"/>
  <c r="AC303" s="1"/>
  <c r="AC304" s="1"/>
  <c r="AC305" s="1"/>
  <c r="AC306" s="1"/>
  <c r="AC307" s="1"/>
  <c r="AC308" s="1"/>
  <c r="AC309" s="1"/>
  <c r="R309"/>
  <c r="S309"/>
  <c r="E309" l="1"/>
  <c r="D309" s="1"/>
  <c r="Q308"/>
  <c r="Z309"/>
  <c r="Y308"/>
  <c r="AD308" s="1"/>
  <c r="H309" l="1"/>
  <c r="G309"/>
  <c r="Z308"/>
  <c r="Y307"/>
  <c r="AD307" s="1"/>
  <c r="R308"/>
  <c r="S308"/>
  <c r="Z307" l="1"/>
  <c r="Y306"/>
  <c r="AD306" s="1"/>
  <c r="E308"/>
  <c r="D308" s="1"/>
  <c r="Q307"/>
  <c r="R307" l="1"/>
  <c r="S307"/>
  <c r="H308"/>
  <c r="G308"/>
  <c r="Z306"/>
  <c r="Y305"/>
  <c r="AD305" s="1"/>
  <c r="E307" l="1"/>
  <c r="D307" s="1"/>
  <c r="Q306"/>
  <c r="Z305"/>
  <c r="Y304"/>
  <c r="AD304" s="1"/>
  <c r="Z304" l="1"/>
  <c r="Y303"/>
  <c r="AD303" s="1"/>
  <c r="H307"/>
  <c r="G307"/>
  <c r="R306"/>
  <c r="S306"/>
  <c r="E306" l="1"/>
  <c r="D306" s="1"/>
  <c r="Q305"/>
  <c r="Z303"/>
  <c r="Y302"/>
  <c r="AD302" s="1"/>
  <c r="R305" l="1"/>
  <c r="S305"/>
  <c r="Z302"/>
  <c r="Y301"/>
  <c r="AD301" s="1"/>
  <c r="H306"/>
  <c r="G306"/>
  <c r="Z301" l="1"/>
  <c r="Y300"/>
  <c r="AD300" s="1"/>
  <c r="E305"/>
  <c r="D305" s="1"/>
  <c r="Q304"/>
  <c r="Z300" l="1"/>
  <c r="R304"/>
  <c r="S304"/>
  <c r="H305"/>
  <c r="G305"/>
  <c r="E304" l="1"/>
  <c r="D304" s="1"/>
  <c r="Q303"/>
  <c r="R303" l="1"/>
  <c r="S303"/>
  <c r="H304"/>
  <c r="G304"/>
  <c r="E303" l="1"/>
  <c r="D303" s="1"/>
  <c r="Q302"/>
  <c r="R302" l="1"/>
  <c r="S302"/>
  <c r="H303"/>
  <c r="G303"/>
  <c r="E302" l="1"/>
  <c r="D302" s="1"/>
  <c r="Q301"/>
  <c r="R301" l="1"/>
  <c r="S301"/>
  <c r="H302"/>
  <c r="G302"/>
  <c r="E301" l="1"/>
  <c r="D301" s="1"/>
  <c r="Q300"/>
  <c r="R300" l="1"/>
  <c r="E300" s="1"/>
  <c r="D300" s="1"/>
  <c r="S300"/>
  <c r="H301"/>
  <c r="G301"/>
  <c r="H300" l="1"/>
  <c r="T300" s="1"/>
  <c r="G300"/>
  <c r="U300" l="1"/>
  <c r="T301" s="1"/>
  <c r="V300"/>
  <c r="W300" s="1"/>
  <c r="AB300" s="1"/>
  <c r="C320" l="1"/>
  <c r="U301"/>
  <c r="T302" s="1"/>
  <c r="V301"/>
  <c r="W301" s="1"/>
  <c r="AB301" s="1"/>
  <c r="X320" l="1"/>
  <c r="I320"/>
  <c r="K320"/>
  <c r="M320" s="1"/>
  <c r="N320" s="1"/>
  <c r="C321"/>
  <c r="U302"/>
  <c r="T303" s="1"/>
  <c r="V302"/>
  <c r="W302" s="1"/>
  <c r="AB302" s="1"/>
  <c r="O320" l="1"/>
  <c r="I321"/>
  <c r="X321"/>
  <c r="K321"/>
  <c r="M321" s="1"/>
  <c r="N321" s="1"/>
  <c r="C322"/>
  <c r="U303"/>
  <c r="T304" s="1"/>
  <c r="V303"/>
  <c r="W303" s="1"/>
  <c r="AB303" s="1"/>
  <c r="P320"/>
  <c r="O321" l="1"/>
  <c r="I322"/>
  <c r="X322"/>
  <c r="K322"/>
  <c r="M322" s="1"/>
  <c r="N322" s="1"/>
  <c r="C323"/>
  <c r="P321"/>
  <c r="U304"/>
  <c r="T305" s="1"/>
  <c r="V304"/>
  <c r="W304" s="1"/>
  <c r="AB304" s="1"/>
  <c r="O322" l="1"/>
  <c r="K323"/>
  <c r="M323" s="1"/>
  <c r="N323" s="1"/>
  <c r="I323"/>
  <c r="X323"/>
  <c r="C324"/>
  <c r="P322"/>
  <c r="U305"/>
  <c r="T306" s="1"/>
  <c r="V305"/>
  <c r="W305" s="1"/>
  <c r="AB305" s="1"/>
  <c r="O323" l="1"/>
  <c r="I324"/>
  <c r="X324"/>
  <c r="K324"/>
  <c r="M324" s="1"/>
  <c r="N324" s="1"/>
  <c r="C325"/>
  <c r="U306"/>
  <c r="T307" s="1"/>
  <c r="V306"/>
  <c r="W306" s="1"/>
  <c r="AB306" s="1"/>
  <c r="P323"/>
  <c r="O324" l="1"/>
  <c r="I325"/>
  <c r="X325"/>
  <c r="K325"/>
  <c r="M325" s="1"/>
  <c r="N325" s="1"/>
  <c r="C326"/>
  <c r="P324"/>
  <c r="U307"/>
  <c r="T308" s="1"/>
  <c r="V307"/>
  <c r="W307" s="1"/>
  <c r="AB307" s="1"/>
  <c r="O325" l="1"/>
  <c r="K326"/>
  <c r="M326" s="1"/>
  <c r="N326" s="1"/>
  <c r="X326"/>
  <c r="I326"/>
  <c r="C327"/>
  <c r="P325"/>
  <c r="U308"/>
  <c r="T309" s="1"/>
  <c r="V308"/>
  <c r="W308" s="1"/>
  <c r="AB308" s="1"/>
  <c r="O326" l="1"/>
  <c r="I327"/>
  <c r="X327"/>
  <c r="K327"/>
  <c r="M327" s="1"/>
  <c r="N327" s="1"/>
  <c r="C328"/>
  <c r="U309"/>
  <c r="U310" s="1"/>
  <c r="V309"/>
  <c r="W309" s="1"/>
  <c r="AB309" s="1"/>
  <c r="P326"/>
  <c r="O327" l="1"/>
  <c r="I328"/>
  <c r="X328"/>
  <c r="K328"/>
  <c r="M328" s="1"/>
  <c r="N328" s="1"/>
  <c r="C329"/>
  <c r="P327"/>
  <c r="O328" l="1"/>
  <c r="K329"/>
  <c r="M329" s="1"/>
  <c r="N329" s="1"/>
  <c r="I329"/>
  <c r="X329"/>
  <c r="P328"/>
  <c r="O329" l="1"/>
  <c r="N330"/>
  <c r="N331" s="1"/>
  <c r="P329"/>
  <c r="P331" s="1"/>
  <c r="R329" l="1"/>
  <c r="S329"/>
  <c r="AE331"/>
  <c r="AE330" s="1"/>
  <c r="AE329" s="1"/>
  <c r="AE328" s="1"/>
  <c r="AE327" s="1"/>
  <c r="AE326" s="1"/>
  <c r="AE325" s="1"/>
  <c r="AE324" s="1"/>
  <c r="AE323" s="1"/>
  <c r="AE322" s="1"/>
  <c r="AE321" s="1"/>
  <c r="AE320" s="1"/>
  <c r="Y330"/>
  <c r="Y329" s="1"/>
  <c r="AD329" s="1"/>
  <c r="AC320"/>
  <c r="AC321" s="1"/>
  <c r="AC322" s="1"/>
  <c r="AC323" s="1"/>
  <c r="AC324" s="1"/>
  <c r="AC325" s="1"/>
  <c r="AC326" s="1"/>
  <c r="AC327" s="1"/>
  <c r="AC328" s="1"/>
  <c r="AC329" s="1"/>
  <c r="Y328" l="1"/>
  <c r="AD328" s="1"/>
  <c r="Z329"/>
  <c r="Q328"/>
  <c r="E329"/>
  <c r="D329" s="1"/>
  <c r="R328" l="1"/>
  <c r="S328"/>
  <c r="Y327"/>
  <c r="AD327" s="1"/>
  <c r="Z328"/>
  <c r="G329"/>
  <c r="H329"/>
  <c r="Y326" l="1"/>
  <c r="AD326" s="1"/>
  <c r="Z327"/>
  <c r="Q327"/>
  <c r="E328"/>
  <c r="D328" s="1"/>
  <c r="G328" l="1"/>
  <c r="H328"/>
  <c r="R327"/>
  <c r="S327"/>
  <c r="Y325"/>
  <c r="AD325" s="1"/>
  <c r="Z326"/>
  <c r="Y324" l="1"/>
  <c r="AD324" s="1"/>
  <c r="Z325"/>
  <c r="Q326"/>
  <c r="E327"/>
  <c r="D327" s="1"/>
  <c r="G327" l="1"/>
  <c r="H327"/>
  <c r="R326"/>
  <c r="S326"/>
  <c r="Y323"/>
  <c r="AD323" s="1"/>
  <c r="Z324"/>
  <c r="Y322" l="1"/>
  <c r="AD322" s="1"/>
  <c r="Z323"/>
  <c r="Q325"/>
  <c r="E326"/>
  <c r="D326" s="1"/>
  <c r="G326" l="1"/>
  <c r="H326"/>
  <c r="R325"/>
  <c r="S325"/>
  <c r="Y321"/>
  <c r="AD321" s="1"/>
  <c r="Z322"/>
  <c r="Y320" l="1"/>
  <c r="AD320" s="1"/>
  <c r="Z321"/>
  <c r="Q324"/>
  <c r="E325"/>
  <c r="D325" s="1"/>
  <c r="Z320" l="1"/>
  <c r="R324"/>
  <c r="S324"/>
  <c r="G325"/>
  <c r="H325"/>
  <c r="Q323" l="1"/>
  <c r="E324"/>
  <c r="D324" s="1"/>
  <c r="R323" l="1"/>
  <c r="S323"/>
  <c r="G324"/>
  <c r="H324"/>
  <c r="Q322" l="1"/>
  <c r="E323"/>
  <c r="D323" s="1"/>
  <c r="G323" l="1"/>
  <c r="H323"/>
  <c r="R322"/>
  <c r="S322"/>
  <c r="Q321" l="1"/>
  <c r="E322"/>
  <c r="D322" s="1"/>
  <c r="G322" l="1"/>
  <c r="H322"/>
  <c r="R321"/>
  <c r="S321"/>
  <c r="Q320" l="1"/>
  <c r="E321"/>
  <c r="D321" s="1"/>
  <c r="G321" l="1"/>
  <c r="H321"/>
  <c r="R320"/>
  <c r="E320" s="1"/>
  <c r="D320" s="1"/>
  <c r="S320"/>
  <c r="G320" l="1"/>
  <c r="H320"/>
  <c r="T320" s="1"/>
  <c r="U320" l="1"/>
  <c r="T321" s="1"/>
  <c r="V320"/>
  <c r="W320" s="1"/>
  <c r="AB320" s="1"/>
  <c r="C340" l="1"/>
  <c r="U321"/>
  <c r="T322" s="1"/>
  <c r="V321"/>
  <c r="W321" s="1"/>
  <c r="AB321" s="1"/>
  <c r="K340" l="1"/>
  <c r="M340" s="1"/>
  <c r="N340" s="1"/>
  <c r="I340"/>
  <c r="X340"/>
  <c r="C341"/>
  <c r="U322"/>
  <c r="T323" s="1"/>
  <c r="V322"/>
  <c r="W322" s="1"/>
  <c r="AB322" s="1"/>
  <c r="O340" l="1"/>
  <c r="X341"/>
  <c r="I341"/>
  <c r="K341"/>
  <c r="M341" s="1"/>
  <c r="N341" s="1"/>
  <c r="C342"/>
  <c r="P340"/>
  <c r="U323"/>
  <c r="T324" s="1"/>
  <c r="V323"/>
  <c r="W323" s="1"/>
  <c r="AB323" s="1"/>
  <c r="O341" l="1"/>
  <c r="K342"/>
  <c r="M342" s="1"/>
  <c r="N342" s="1"/>
  <c r="X342"/>
  <c r="I342"/>
  <c r="C343"/>
  <c r="U324"/>
  <c r="T325" s="1"/>
  <c r="V324"/>
  <c r="W324" s="1"/>
  <c r="AB324" s="1"/>
  <c r="P341"/>
  <c r="O342" l="1"/>
  <c r="X343"/>
  <c r="I343"/>
  <c r="K343"/>
  <c r="M343" s="1"/>
  <c r="N343" s="1"/>
  <c r="C344"/>
  <c r="P342"/>
  <c r="U325"/>
  <c r="T326" s="1"/>
  <c r="V325"/>
  <c r="W325" s="1"/>
  <c r="AB325" s="1"/>
  <c r="O343" l="1"/>
  <c r="K344"/>
  <c r="M344" s="1"/>
  <c r="N344" s="1"/>
  <c r="I344"/>
  <c r="X344"/>
  <c r="C345"/>
  <c r="U326"/>
  <c r="T327" s="1"/>
  <c r="V326"/>
  <c r="W326" s="1"/>
  <c r="AB326" s="1"/>
  <c r="P343"/>
  <c r="O344" l="1"/>
  <c r="K345"/>
  <c r="M345" s="1"/>
  <c r="N345" s="1"/>
  <c r="X345"/>
  <c r="I345"/>
  <c r="C346"/>
  <c r="P344"/>
  <c r="U327"/>
  <c r="T328" s="1"/>
  <c r="V327"/>
  <c r="W327" s="1"/>
  <c r="AB327" s="1"/>
  <c r="O345" l="1"/>
  <c r="K346"/>
  <c r="M346" s="1"/>
  <c r="N346" s="1"/>
  <c r="X346"/>
  <c r="I346"/>
  <c r="C347"/>
  <c r="U328"/>
  <c r="T329" s="1"/>
  <c r="V328"/>
  <c r="W328" s="1"/>
  <c r="AB328" s="1"/>
  <c r="P345"/>
  <c r="O346" l="1"/>
  <c r="X347"/>
  <c r="I347"/>
  <c r="K347"/>
  <c r="M347" s="1"/>
  <c r="N347" s="1"/>
  <c r="C348"/>
  <c r="P346"/>
  <c r="U329"/>
  <c r="U330" s="1"/>
  <c r="V329"/>
  <c r="W329" s="1"/>
  <c r="AB329" s="1"/>
  <c r="O347" l="1"/>
  <c r="K348"/>
  <c r="M348" s="1"/>
  <c r="N348" s="1"/>
  <c r="X348"/>
  <c r="I348"/>
  <c r="C349"/>
  <c r="P347"/>
  <c r="O348" l="1"/>
  <c r="X349"/>
  <c r="I349"/>
  <c r="K349"/>
  <c r="M349" s="1"/>
  <c r="N349" s="1"/>
  <c r="P348"/>
  <c r="O349" l="1"/>
  <c r="N350"/>
  <c r="N351" s="1"/>
  <c r="P349"/>
  <c r="P351" s="1"/>
  <c r="Y350" l="1"/>
  <c r="Y349" s="1"/>
  <c r="AD349" s="1"/>
  <c r="AE351"/>
  <c r="AE350" s="1"/>
  <c r="AE349" s="1"/>
  <c r="AE348" s="1"/>
  <c r="AE347" s="1"/>
  <c r="AE346" s="1"/>
  <c r="AE345" s="1"/>
  <c r="AE344" s="1"/>
  <c r="AE343" s="1"/>
  <c r="AE342" s="1"/>
  <c r="AE341" s="1"/>
  <c r="AE340" s="1"/>
  <c r="AC340"/>
  <c r="AC341" s="1"/>
  <c r="AC342" s="1"/>
  <c r="AC343" s="1"/>
  <c r="AC344" s="1"/>
  <c r="AC345" s="1"/>
  <c r="AC346" s="1"/>
  <c r="AC347" s="1"/>
  <c r="AC348" s="1"/>
  <c r="AC349" s="1"/>
  <c r="R349"/>
  <c r="S349"/>
  <c r="E349" l="1"/>
  <c r="D349" s="1"/>
  <c r="Q348"/>
  <c r="Z349"/>
  <c r="Y348"/>
  <c r="AD348" s="1"/>
  <c r="H349" l="1"/>
  <c r="G349"/>
  <c r="Z348"/>
  <c r="Y347"/>
  <c r="AD347" s="1"/>
  <c r="R348"/>
  <c r="S348"/>
  <c r="Z347" l="1"/>
  <c r="Y346"/>
  <c r="AD346" s="1"/>
  <c r="E348"/>
  <c r="D348" s="1"/>
  <c r="Q347"/>
  <c r="R347" l="1"/>
  <c r="S347"/>
  <c r="H348"/>
  <c r="G348"/>
  <c r="Z346"/>
  <c r="Y345"/>
  <c r="AD345" s="1"/>
  <c r="E347" l="1"/>
  <c r="D347" s="1"/>
  <c r="Q346"/>
  <c r="Y344"/>
  <c r="AD344" s="1"/>
  <c r="Z345"/>
  <c r="H347" l="1"/>
  <c r="G347"/>
  <c r="Y343"/>
  <c r="AD343" s="1"/>
  <c r="Z344"/>
  <c r="R346"/>
  <c r="S346"/>
  <c r="E346" l="1"/>
  <c r="D346" s="1"/>
  <c r="Q345"/>
  <c r="Z343"/>
  <c r="Y342"/>
  <c r="AD342" s="1"/>
  <c r="Z342" l="1"/>
  <c r="Y341"/>
  <c r="AD341" s="1"/>
  <c r="H346"/>
  <c r="G346"/>
  <c r="R345"/>
  <c r="S345"/>
  <c r="Q344" l="1"/>
  <c r="E345"/>
  <c r="D345" s="1"/>
  <c r="Z341"/>
  <c r="Y340"/>
  <c r="AD340" s="1"/>
  <c r="Z340" l="1"/>
  <c r="R344"/>
  <c r="S344"/>
  <c r="H345"/>
  <c r="G345"/>
  <c r="E344" l="1"/>
  <c r="D344" s="1"/>
  <c r="Q343"/>
  <c r="H344" l="1"/>
  <c r="G344"/>
  <c r="R343"/>
  <c r="S343"/>
  <c r="E343" l="1"/>
  <c r="D343" s="1"/>
  <c r="Q342"/>
  <c r="H343" l="1"/>
  <c r="G343"/>
  <c r="R342"/>
  <c r="S342"/>
  <c r="E342" l="1"/>
  <c r="D342" s="1"/>
  <c r="Q341"/>
  <c r="H342" l="1"/>
  <c r="G342"/>
  <c r="R341"/>
  <c r="S341"/>
  <c r="E341" l="1"/>
  <c r="D341" s="1"/>
  <c r="Q340"/>
  <c r="H341" l="1"/>
  <c r="G341"/>
  <c r="R340"/>
  <c r="E340" s="1"/>
  <c r="D340" s="1"/>
  <c r="S340"/>
  <c r="H340" l="1"/>
  <c r="T340" s="1"/>
  <c r="G340"/>
  <c r="U340" l="1"/>
  <c r="T341" s="1"/>
  <c r="V340"/>
  <c r="W340" s="1"/>
  <c r="AB340" s="1"/>
  <c r="C360" l="1"/>
  <c r="U341"/>
  <c r="T342" s="1"/>
  <c r="V341"/>
  <c r="W341" s="1"/>
  <c r="AB341" s="1"/>
  <c r="X360" l="1"/>
  <c r="K360"/>
  <c r="M360" s="1"/>
  <c r="N360" s="1"/>
  <c r="I360"/>
  <c r="C361"/>
  <c r="U342"/>
  <c r="T343" s="1"/>
  <c r="V342"/>
  <c r="W342" s="1"/>
  <c r="AB342" s="1"/>
  <c r="O360" l="1"/>
  <c r="X361"/>
  <c r="I361"/>
  <c r="K361"/>
  <c r="M361" s="1"/>
  <c r="N361" s="1"/>
  <c r="C362"/>
  <c r="U343"/>
  <c r="T344" s="1"/>
  <c r="V343"/>
  <c r="W343" s="1"/>
  <c r="AB343" s="1"/>
  <c r="P360"/>
  <c r="O361" l="1"/>
  <c r="K362"/>
  <c r="M362" s="1"/>
  <c r="N362" s="1"/>
  <c r="X362"/>
  <c r="I362"/>
  <c r="C363"/>
  <c r="P361"/>
  <c r="U344"/>
  <c r="T345" s="1"/>
  <c r="V344"/>
  <c r="W344" s="1"/>
  <c r="AB344" s="1"/>
  <c r="O362" l="1"/>
  <c r="K363"/>
  <c r="M363" s="1"/>
  <c r="N363" s="1"/>
  <c r="X363"/>
  <c r="I363"/>
  <c r="C364"/>
  <c r="P362"/>
  <c r="U345"/>
  <c r="T346" s="1"/>
  <c r="V345"/>
  <c r="W345" s="1"/>
  <c r="AB345" s="1"/>
  <c r="O363" l="1"/>
  <c r="I364"/>
  <c r="X364"/>
  <c r="K364"/>
  <c r="M364" s="1"/>
  <c r="N364" s="1"/>
  <c r="C365"/>
  <c r="P363"/>
  <c r="U346"/>
  <c r="T347" s="1"/>
  <c r="V346"/>
  <c r="W346" s="1"/>
  <c r="AB346" s="1"/>
  <c r="O364" l="1"/>
  <c r="I365"/>
  <c r="X365"/>
  <c r="K365"/>
  <c r="M365" s="1"/>
  <c r="N365" s="1"/>
  <c r="C366"/>
  <c r="U347"/>
  <c r="T348" s="1"/>
  <c r="V347"/>
  <c r="W347" s="1"/>
  <c r="AB347" s="1"/>
  <c r="P364"/>
  <c r="O365" l="1"/>
  <c r="I366"/>
  <c r="X366"/>
  <c r="K366"/>
  <c r="M366" s="1"/>
  <c r="N366" s="1"/>
  <c r="C367"/>
  <c r="P365"/>
  <c r="U348"/>
  <c r="T349" s="1"/>
  <c r="V348"/>
  <c r="W348" s="1"/>
  <c r="AB348" s="1"/>
  <c r="O366" l="1"/>
  <c r="K367"/>
  <c r="M367" s="1"/>
  <c r="N367" s="1"/>
  <c r="X367"/>
  <c r="I367"/>
  <c r="C368"/>
  <c r="P366"/>
  <c r="U349"/>
  <c r="U350" s="1"/>
  <c r="V349"/>
  <c r="W349" s="1"/>
  <c r="AB349" s="1"/>
  <c r="O367" l="1"/>
  <c r="I368"/>
  <c r="X368"/>
  <c r="K368"/>
  <c r="M368" s="1"/>
  <c r="N368" s="1"/>
  <c r="C369"/>
  <c r="P367"/>
  <c r="O368" l="1"/>
  <c r="I369"/>
  <c r="X369"/>
  <c r="K369"/>
  <c r="M369" s="1"/>
  <c r="N369" s="1"/>
  <c r="P368"/>
  <c r="O369" l="1"/>
  <c r="N370"/>
  <c r="N371" s="1"/>
  <c r="P369"/>
  <c r="P371" s="1"/>
  <c r="AE371" l="1"/>
  <c r="AE370" s="1"/>
  <c r="AE369" s="1"/>
  <c r="AE368" s="1"/>
  <c r="AE367" s="1"/>
  <c r="AE366" s="1"/>
  <c r="AE365" s="1"/>
  <c r="AE364" s="1"/>
  <c r="AE363" s="1"/>
  <c r="AE362" s="1"/>
  <c r="AE361" s="1"/>
  <c r="AE360" s="1"/>
  <c r="Y370"/>
  <c r="Y369" s="1"/>
  <c r="AD369" s="1"/>
  <c r="AC360"/>
  <c r="AC361" s="1"/>
  <c r="AC362" s="1"/>
  <c r="AC363" s="1"/>
  <c r="AC364" s="1"/>
  <c r="AC365" s="1"/>
  <c r="AC366" s="1"/>
  <c r="AC367" s="1"/>
  <c r="AC368" s="1"/>
  <c r="AC369" s="1"/>
  <c r="R369"/>
  <c r="S369"/>
  <c r="Q368" l="1"/>
  <c r="E369"/>
  <c r="D369" s="1"/>
  <c r="Y368"/>
  <c r="AD368" s="1"/>
  <c r="Z369"/>
  <c r="Y367" l="1"/>
  <c r="AD367" s="1"/>
  <c r="Z368"/>
  <c r="R368"/>
  <c r="S368"/>
  <c r="G369"/>
  <c r="H369"/>
  <c r="Q367" l="1"/>
  <c r="E368"/>
  <c r="D368" s="1"/>
  <c r="Y366"/>
  <c r="AD366" s="1"/>
  <c r="Z367"/>
  <c r="Y365" l="1"/>
  <c r="AD365" s="1"/>
  <c r="Z366"/>
  <c r="R367"/>
  <c r="S367"/>
  <c r="G368"/>
  <c r="H368"/>
  <c r="Q366" l="1"/>
  <c r="E367"/>
  <c r="D367" s="1"/>
  <c r="Y364"/>
  <c r="AD364" s="1"/>
  <c r="Z365"/>
  <c r="Y363" l="1"/>
  <c r="AD363" s="1"/>
  <c r="Z364"/>
  <c r="R366"/>
  <c r="S366"/>
  <c r="G367"/>
  <c r="H367"/>
  <c r="Q365" l="1"/>
  <c r="E366"/>
  <c r="D366" s="1"/>
  <c r="Y362"/>
  <c r="AD362" s="1"/>
  <c r="Z363"/>
  <c r="Y361" l="1"/>
  <c r="AD361" s="1"/>
  <c r="Z362"/>
  <c r="R365"/>
  <c r="S365"/>
  <c r="G366"/>
  <c r="H366"/>
  <c r="Q364" l="1"/>
  <c r="E365"/>
  <c r="D365" s="1"/>
  <c r="Y360"/>
  <c r="AD360" s="1"/>
  <c r="Z361"/>
  <c r="Z360" l="1"/>
  <c r="R364"/>
  <c r="S364"/>
  <c r="G365"/>
  <c r="H365"/>
  <c r="Q363" l="1"/>
  <c r="E364"/>
  <c r="D364" s="1"/>
  <c r="R363" l="1"/>
  <c r="S363"/>
  <c r="G364"/>
  <c r="H364"/>
  <c r="Q362" l="1"/>
  <c r="E363"/>
  <c r="D363" s="1"/>
  <c r="G363" l="1"/>
  <c r="H363"/>
  <c r="R362"/>
  <c r="S362"/>
  <c r="Q361" l="1"/>
  <c r="E362"/>
  <c r="D362" s="1"/>
  <c r="R361" l="1"/>
  <c r="S361"/>
  <c r="G362"/>
  <c r="H362"/>
  <c r="Q360" l="1"/>
  <c r="E361"/>
  <c r="D361" s="1"/>
  <c r="G361" l="1"/>
  <c r="H361"/>
  <c r="R360"/>
  <c r="E360" s="1"/>
  <c r="D360" s="1"/>
  <c r="S360"/>
  <c r="G360" l="1"/>
  <c r="H360"/>
  <c r="T360" s="1"/>
  <c r="U360" l="1"/>
  <c r="T361" s="1"/>
  <c r="V360"/>
  <c r="W360" s="1"/>
  <c r="AB360" s="1"/>
  <c r="C380" l="1"/>
  <c r="U361"/>
  <c r="T362" s="1"/>
  <c r="V361"/>
  <c r="W361" s="1"/>
  <c r="AB361" s="1"/>
  <c r="K380" l="1"/>
  <c r="M380" s="1"/>
  <c r="N380" s="1"/>
  <c r="X380"/>
  <c r="I380"/>
  <c r="C381"/>
  <c r="U362"/>
  <c r="T363" s="1"/>
  <c r="V362"/>
  <c r="W362" s="1"/>
  <c r="AB362" s="1"/>
  <c r="O380" l="1"/>
  <c r="X381"/>
  <c r="I381"/>
  <c r="K381"/>
  <c r="M381" s="1"/>
  <c r="N381" s="1"/>
  <c r="C382"/>
  <c r="P380"/>
  <c r="U363"/>
  <c r="T364" s="1"/>
  <c r="V363"/>
  <c r="W363" s="1"/>
  <c r="AB363" s="1"/>
  <c r="O381" l="1"/>
  <c r="K382"/>
  <c r="M382" s="1"/>
  <c r="N382" s="1"/>
  <c r="I382"/>
  <c r="X382"/>
  <c r="C383"/>
  <c r="U364"/>
  <c r="T365" s="1"/>
  <c r="V364"/>
  <c r="W364" s="1"/>
  <c r="AB364" s="1"/>
  <c r="P381"/>
  <c r="O382" l="1"/>
  <c r="X383"/>
  <c r="I383"/>
  <c r="K383"/>
  <c r="M383" s="1"/>
  <c r="N383" s="1"/>
  <c r="C384"/>
  <c r="P382"/>
  <c r="U365"/>
  <c r="T366" s="1"/>
  <c r="V365"/>
  <c r="W365" s="1"/>
  <c r="AB365" s="1"/>
  <c r="O383" l="1"/>
  <c r="K384"/>
  <c r="M384" s="1"/>
  <c r="N384" s="1"/>
  <c r="I384"/>
  <c r="C385"/>
  <c r="X384"/>
  <c r="U366"/>
  <c r="T367" s="1"/>
  <c r="V366"/>
  <c r="W366" s="1"/>
  <c r="AB366" s="1"/>
  <c r="P383"/>
  <c r="O384" l="1"/>
  <c r="X385"/>
  <c r="I385"/>
  <c r="K385"/>
  <c r="M385" s="1"/>
  <c r="N385" s="1"/>
  <c r="C386"/>
  <c r="P384"/>
  <c r="U367"/>
  <c r="T368" s="1"/>
  <c r="V367"/>
  <c r="W367" s="1"/>
  <c r="AB367" s="1"/>
  <c r="O385" l="1"/>
  <c r="X386"/>
  <c r="I386"/>
  <c r="K386"/>
  <c r="M386" s="1"/>
  <c r="N386" s="1"/>
  <c r="C387"/>
  <c r="P385"/>
  <c r="U368"/>
  <c r="T369" s="1"/>
  <c r="V368"/>
  <c r="W368" s="1"/>
  <c r="AB368" s="1"/>
  <c r="O386" l="1"/>
  <c r="X387"/>
  <c r="I387"/>
  <c r="K387"/>
  <c r="M387" s="1"/>
  <c r="N387" s="1"/>
  <c r="C388"/>
  <c r="U369"/>
  <c r="U370" s="1"/>
  <c r="V369"/>
  <c r="W369" s="1"/>
  <c r="AB369" s="1"/>
  <c r="P386"/>
  <c r="O387" l="1"/>
  <c r="X388"/>
  <c r="I388"/>
  <c r="K388"/>
  <c r="M388" s="1"/>
  <c r="N388" s="1"/>
  <c r="C389"/>
  <c r="P387"/>
  <c r="O388" l="1"/>
  <c r="K389"/>
  <c r="M389" s="1"/>
  <c r="N389" s="1"/>
  <c r="I389"/>
  <c r="X389"/>
  <c r="P388"/>
  <c r="O389" l="1"/>
  <c r="N390"/>
  <c r="N391" s="1"/>
  <c r="P389"/>
  <c r="P391" s="1"/>
  <c r="R389" l="1"/>
  <c r="S389"/>
  <c r="Y390"/>
  <c r="Y389" s="1"/>
  <c r="AD389" s="1"/>
  <c r="AE391"/>
  <c r="AE390" s="1"/>
  <c r="AE389" s="1"/>
  <c r="AE388" s="1"/>
  <c r="AE387" s="1"/>
  <c r="AE386" s="1"/>
  <c r="AE385" s="1"/>
  <c r="AE384" s="1"/>
  <c r="AE383" s="1"/>
  <c r="AE382" s="1"/>
  <c r="AE381" s="1"/>
  <c r="AE380" s="1"/>
  <c r="AC380"/>
  <c r="AC381" s="1"/>
  <c r="AC382" s="1"/>
  <c r="AC383" s="1"/>
  <c r="AC384" s="1"/>
  <c r="AC385" s="1"/>
  <c r="AC386" s="1"/>
  <c r="AC387" s="1"/>
  <c r="AC388" s="1"/>
  <c r="AC389" s="1"/>
  <c r="E389" l="1"/>
  <c r="D389" s="1"/>
  <c r="Q388"/>
  <c r="Z389"/>
  <c r="Y388"/>
  <c r="AD388" s="1"/>
  <c r="H389" l="1"/>
  <c r="G389"/>
  <c r="Z388"/>
  <c r="Y387"/>
  <c r="AD387" s="1"/>
  <c r="R388"/>
  <c r="S388"/>
  <c r="Z387" l="1"/>
  <c r="Y386"/>
  <c r="AD386" s="1"/>
  <c r="E388"/>
  <c r="D388" s="1"/>
  <c r="Q387"/>
  <c r="R387" l="1"/>
  <c r="S387"/>
  <c r="H388"/>
  <c r="G388"/>
  <c r="Z386"/>
  <c r="Y385"/>
  <c r="AD385" s="1"/>
  <c r="E387" l="1"/>
  <c r="D387" s="1"/>
  <c r="Q386"/>
  <c r="Z385"/>
  <c r="Y384"/>
  <c r="AD384" s="1"/>
  <c r="Z384" l="1"/>
  <c r="Y383"/>
  <c r="AD383" s="1"/>
  <c r="H387"/>
  <c r="G387"/>
  <c r="R386"/>
  <c r="S386"/>
  <c r="E386" l="1"/>
  <c r="D386" s="1"/>
  <c r="Q385"/>
  <c r="Z383"/>
  <c r="Y382"/>
  <c r="AD382" s="1"/>
  <c r="H386" l="1"/>
  <c r="G386"/>
  <c r="Z382"/>
  <c r="Y381"/>
  <c r="AD381" s="1"/>
  <c r="R385"/>
  <c r="S385"/>
  <c r="E385" l="1"/>
  <c r="D385" s="1"/>
  <c r="Q384"/>
  <c r="Z381"/>
  <c r="Y380"/>
  <c r="AD380" s="1"/>
  <c r="Z380" l="1"/>
  <c r="H385"/>
  <c r="G385"/>
  <c r="R384"/>
  <c r="S384"/>
  <c r="E384" l="1"/>
  <c r="D384" s="1"/>
  <c r="Q383"/>
  <c r="H384" l="1"/>
  <c r="G384"/>
  <c r="R383"/>
  <c r="S383"/>
  <c r="E383" l="1"/>
  <c r="D383" s="1"/>
  <c r="Q382"/>
  <c r="H383" l="1"/>
  <c r="G383"/>
  <c r="R382"/>
  <c r="S382"/>
  <c r="E382" l="1"/>
  <c r="D382" s="1"/>
  <c r="Q381"/>
  <c r="H382" l="1"/>
  <c r="G382"/>
  <c r="R381"/>
  <c r="S381"/>
  <c r="E381" l="1"/>
  <c r="D381" s="1"/>
  <c r="Q380"/>
  <c r="H381" l="1"/>
  <c r="G381"/>
  <c r="R380"/>
  <c r="E380" s="1"/>
  <c r="D380" s="1"/>
  <c r="S380"/>
  <c r="H380" l="1"/>
  <c r="T380" s="1"/>
  <c r="G380"/>
  <c r="U380" l="1"/>
  <c r="T381" s="1"/>
  <c r="V380"/>
  <c r="W380" s="1"/>
  <c r="AB380" s="1"/>
  <c r="C400" l="1"/>
  <c r="U381"/>
  <c r="T382" s="1"/>
  <c r="V381"/>
  <c r="W381" s="1"/>
  <c r="AB381" s="1"/>
  <c r="X400" l="1"/>
  <c r="K400"/>
  <c r="M400" s="1"/>
  <c r="N400" s="1"/>
  <c r="I400"/>
  <c r="C401"/>
  <c r="U382"/>
  <c r="T383" s="1"/>
  <c r="V382"/>
  <c r="W382" s="1"/>
  <c r="AB382" s="1"/>
  <c r="O400" l="1"/>
  <c r="X401"/>
  <c r="I401"/>
  <c r="K401"/>
  <c r="M401" s="1"/>
  <c r="N401" s="1"/>
  <c r="C402"/>
  <c r="U383"/>
  <c r="T384" s="1"/>
  <c r="V383"/>
  <c r="W383" s="1"/>
  <c r="AB383" s="1"/>
  <c r="P400"/>
  <c r="O401" l="1"/>
  <c r="K402"/>
  <c r="M402" s="1"/>
  <c r="N402" s="1"/>
  <c r="I402"/>
  <c r="X402"/>
  <c r="C403"/>
  <c r="P401"/>
  <c r="U384"/>
  <c r="T385" s="1"/>
  <c r="V384"/>
  <c r="W384" s="1"/>
  <c r="AB384" s="1"/>
  <c r="O402" l="1"/>
  <c r="K403"/>
  <c r="M403" s="1"/>
  <c r="N403" s="1"/>
  <c r="X403"/>
  <c r="I403"/>
  <c r="C404"/>
  <c r="P402"/>
  <c r="U385"/>
  <c r="T386" s="1"/>
  <c r="V385"/>
  <c r="W385" s="1"/>
  <c r="AB385" s="1"/>
  <c r="O403" l="1"/>
  <c r="I404"/>
  <c r="X404"/>
  <c r="K404"/>
  <c r="M404" s="1"/>
  <c r="N404" s="1"/>
  <c r="C405"/>
  <c r="P403"/>
  <c r="U386"/>
  <c r="T387" s="1"/>
  <c r="V386"/>
  <c r="W386" s="1"/>
  <c r="AB386" s="1"/>
  <c r="O404" l="1"/>
  <c r="K405"/>
  <c r="M405" s="1"/>
  <c r="N405" s="1"/>
  <c r="X405"/>
  <c r="I405"/>
  <c r="C406"/>
  <c r="U387"/>
  <c r="T388" s="1"/>
  <c r="V387"/>
  <c r="W387" s="1"/>
  <c r="AB387" s="1"/>
  <c r="P404"/>
  <c r="O405" l="1"/>
  <c r="K406"/>
  <c r="M406" s="1"/>
  <c r="N406" s="1"/>
  <c r="I406"/>
  <c r="X406"/>
  <c r="C407"/>
  <c r="P405"/>
  <c r="U388"/>
  <c r="T389" s="1"/>
  <c r="V388"/>
  <c r="W388" s="1"/>
  <c r="AB388" s="1"/>
  <c r="O406" l="1"/>
  <c r="K407"/>
  <c r="M407" s="1"/>
  <c r="N407" s="1"/>
  <c r="X407"/>
  <c r="I407"/>
  <c r="C408"/>
  <c r="P406"/>
  <c r="U389"/>
  <c r="U390" s="1"/>
  <c r="V389"/>
  <c r="W389" s="1"/>
  <c r="AB389" s="1"/>
  <c r="O407" l="1"/>
  <c r="I408"/>
  <c r="X408"/>
  <c r="K408"/>
  <c r="M408" s="1"/>
  <c r="N408" s="1"/>
  <c r="C409"/>
  <c r="P407"/>
  <c r="O408" l="1"/>
  <c r="I409"/>
  <c r="X409"/>
  <c r="K409"/>
  <c r="M409" s="1"/>
  <c r="N409" s="1"/>
  <c r="P408"/>
  <c r="O409" l="1"/>
  <c r="N410"/>
  <c r="N411" s="1"/>
  <c r="P409"/>
  <c r="P411" s="1"/>
  <c r="AE411" l="1"/>
  <c r="AE410" s="1"/>
  <c r="AE409" s="1"/>
  <c r="AE408" s="1"/>
  <c r="AE407" s="1"/>
  <c r="AE406" s="1"/>
  <c r="AE405" s="1"/>
  <c r="AE404" s="1"/>
  <c r="AE403" s="1"/>
  <c r="AE402" s="1"/>
  <c r="AE401" s="1"/>
  <c r="AE400" s="1"/>
  <c r="Y410"/>
  <c r="Y409" s="1"/>
  <c r="AD409" s="1"/>
  <c r="AC400"/>
  <c r="AC401" s="1"/>
  <c r="AC402" s="1"/>
  <c r="AC403" s="1"/>
  <c r="AC404" s="1"/>
  <c r="AC405" s="1"/>
  <c r="AC406" s="1"/>
  <c r="AC407" s="1"/>
  <c r="AC408" s="1"/>
  <c r="AC409" s="1"/>
  <c r="R409"/>
  <c r="S409"/>
  <c r="Q408" l="1"/>
  <c r="E409"/>
  <c r="D409" s="1"/>
  <c r="Y408"/>
  <c r="AD408" s="1"/>
  <c r="Z409"/>
  <c r="Y407" l="1"/>
  <c r="AD407" s="1"/>
  <c r="Z408"/>
  <c r="R408"/>
  <c r="S408"/>
  <c r="G409"/>
  <c r="H409"/>
  <c r="Q407" l="1"/>
  <c r="E408"/>
  <c r="D408" s="1"/>
  <c r="Y406"/>
  <c r="AD406" s="1"/>
  <c r="Z407"/>
  <c r="Y405" l="1"/>
  <c r="AD405" s="1"/>
  <c r="Z406"/>
  <c r="R407"/>
  <c r="S407"/>
  <c r="G408"/>
  <c r="H408"/>
  <c r="Q406" l="1"/>
  <c r="E407"/>
  <c r="D407" s="1"/>
  <c r="Y404"/>
  <c r="AD404" s="1"/>
  <c r="Z405"/>
  <c r="Y403" l="1"/>
  <c r="AD403" s="1"/>
  <c r="Z404"/>
  <c r="R406"/>
  <c r="S406"/>
  <c r="G407"/>
  <c r="H407"/>
  <c r="Q405" l="1"/>
  <c r="E406"/>
  <c r="D406" s="1"/>
  <c r="Y402"/>
  <c r="AD402" s="1"/>
  <c r="Z403"/>
  <c r="Y401" l="1"/>
  <c r="AD401" s="1"/>
  <c r="Z402"/>
  <c r="R405"/>
  <c r="S405"/>
  <c r="G406"/>
  <c r="H406"/>
  <c r="Q404" l="1"/>
  <c r="E405"/>
  <c r="D405" s="1"/>
  <c r="Y400"/>
  <c r="AD400" s="1"/>
  <c r="Z401"/>
  <c r="Z400" l="1"/>
  <c r="R404"/>
  <c r="S404"/>
  <c r="G405"/>
  <c r="H405"/>
  <c r="Q403" l="1"/>
  <c r="E404"/>
  <c r="D404" s="1"/>
  <c r="R403" l="1"/>
  <c r="S403"/>
  <c r="G404"/>
  <c r="H404"/>
  <c r="Q402" l="1"/>
  <c r="E403"/>
  <c r="D403" s="1"/>
  <c r="R402" l="1"/>
  <c r="S402"/>
  <c r="G403"/>
  <c r="H403"/>
  <c r="Q401" l="1"/>
  <c r="E402"/>
  <c r="D402" s="1"/>
  <c r="R401" l="1"/>
  <c r="S401"/>
  <c r="G402"/>
  <c r="H402"/>
  <c r="Q400" l="1"/>
  <c r="E401"/>
  <c r="D401" s="1"/>
  <c r="G401" l="1"/>
  <c r="H401"/>
  <c r="R400"/>
  <c r="E400" s="1"/>
  <c r="D400" s="1"/>
  <c r="S400"/>
  <c r="G400" l="1"/>
  <c r="H400"/>
  <c r="T400" s="1"/>
  <c r="U400" l="1"/>
  <c r="T401" s="1"/>
  <c r="V400"/>
  <c r="W400" s="1"/>
  <c r="AB400" s="1"/>
  <c r="C420" l="1"/>
  <c r="U401"/>
  <c r="T402" s="1"/>
  <c r="V401"/>
  <c r="W401" s="1"/>
  <c r="AB401" s="1"/>
  <c r="K420" l="1"/>
  <c r="M420" s="1"/>
  <c r="N420" s="1"/>
  <c r="X420"/>
  <c r="I420"/>
  <c r="C421"/>
  <c r="U402"/>
  <c r="T403" s="1"/>
  <c r="V402"/>
  <c r="W402" s="1"/>
  <c r="AB402" s="1"/>
  <c r="O420" l="1"/>
  <c r="I421"/>
  <c r="X421"/>
  <c r="K421"/>
  <c r="M421" s="1"/>
  <c r="N421" s="1"/>
  <c r="C422"/>
  <c r="P420"/>
  <c r="U403"/>
  <c r="T404" s="1"/>
  <c r="V403"/>
  <c r="W403" s="1"/>
  <c r="AB403" s="1"/>
  <c r="O421" l="1"/>
  <c r="K422"/>
  <c r="M422" s="1"/>
  <c r="N422" s="1"/>
  <c r="X422"/>
  <c r="I422"/>
  <c r="C423"/>
  <c r="U404"/>
  <c r="T405" s="1"/>
  <c r="V404"/>
  <c r="W404" s="1"/>
  <c r="AB404" s="1"/>
  <c r="P421"/>
  <c r="O422" l="1"/>
  <c r="X423"/>
  <c r="I423"/>
  <c r="K423"/>
  <c r="M423" s="1"/>
  <c r="N423" s="1"/>
  <c r="C424"/>
  <c r="P422"/>
  <c r="U405"/>
  <c r="T406" s="1"/>
  <c r="V405"/>
  <c r="W405" s="1"/>
  <c r="AB405" s="1"/>
  <c r="O423" l="1"/>
  <c r="K424"/>
  <c r="M424" s="1"/>
  <c r="N424" s="1"/>
  <c r="I424"/>
  <c r="C425"/>
  <c r="X424"/>
  <c r="U406"/>
  <c r="T407" s="1"/>
  <c r="V406"/>
  <c r="W406" s="1"/>
  <c r="AB406" s="1"/>
  <c r="P423"/>
  <c r="O424" l="1"/>
  <c r="X425"/>
  <c r="I425"/>
  <c r="K425"/>
  <c r="M425" s="1"/>
  <c r="N425" s="1"/>
  <c r="C426"/>
  <c r="P424"/>
  <c r="U407"/>
  <c r="T408" s="1"/>
  <c r="V407"/>
  <c r="W407" s="1"/>
  <c r="AB407" s="1"/>
  <c r="O425" l="1"/>
  <c r="X426"/>
  <c r="I426"/>
  <c r="K426"/>
  <c r="M426" s="1"/>
  <c r="N426" s="1"/>
  <c r="C427"/>
  <c r="U408"/>
  <c r="T409" s="1"/>
  <c r="V408"/>
  <c r="W408" s="1"/>
  <c r="AB408" s="1"/>
  <c r="P425"/>
  <c r="O426" l="1"/>
  <c r="I427"/>
  <c r="K427"/>
  <c r="M427" s="1"/>
  <c r="N427" s="1"/>
  <c r="X427"/>
  <c r="C428"/>
  <c r="P426"/>
  <c r="U409"/>
  <c r="U410" s="1"/>
  <c r="V409"/>
  <c r="W409" s="1"/>
  <c r="AB409" s="1"/>
  <c r="O427" l="1"/>
  <c r="K428"/>
  <c r="M428" s="1"/>
  <c r="N428" s="1"/>
  <c r="X428"/>
  <c r="I428"/>
  <c r="C429"/>
  <c r="P427"/>
  <c r="O428" l="1"/>
  <c r="X429"/>
  <c r="I429"/>
  <c r="K429"/>
  <c r="M429" s="1"/>
  <c r="N429" s="1"/>
  <c r="P428"/>
  <c r="O429" l="1"/>
  <c r="N430"/>
  <c r="N431" s="1"/>
  <c r="P429"/>
  <c r="P431" s="1"/>
  <c r="R429" l="1"/>
  <c r="S429"/>
  <c r="Y430"/>
  <c r="Y429" s="1"/>
  <c r="AD429" s="1"/>
  <c r="AE431"/>
  <c r="AE430" s="1"/>
  <c r="AE429" s="1"/>
  <c r="AE428" s="1"/>
  <c r="AE427" s="1"/>
  <c r="AE426" s="1"/>
  <c r="AE425" s="1"/>
  <c r="AE424" s="1"/>
  <c r="AE423" s="1"/>
  <c r="AE422" s="1"/>
  <c r="AE421" s="1"/>
  <c r="AE420" s="1"/>
  <c r="AC420"/>
  <c r="AC421" s="1"/>
  <c r="AC422" s="1"/>
  <c r="AC423" s="1"/>
  <c r="AC424" s="1"/>
  <c r="AC425" s="1"/>
  <c r="AC426" s="1"/>
  <c r="AC427" s="1"/>
  <c r="AC428" s="1"/>
  <c r="AC429" s="1"/>
  <c r="E429" l="1"/>
  <c r="D429" s="1"/>
  <c r="Q428"/>
  <c r="Z429"/>
  <c r="Y428"/>
  <c r="AD428" s="1"/>
  <c r="H429" l="1"/>
  <c r="G429"/>
  <c r="Z428"/>
  <c r="Y427"/>
  <c r="AD427" s="1"/>
  <c r="R428"/>
  <c r="S428"/>
  <c r="Z427" l="1"/>
  <c r="Y426"/>
  <c r="AD426" s="1"/>
  <c r="E428"/>
  <c r="D428" s="1"/>
  <c r="Q427"/>
  <c r="R427" l="1"/>
  <c r="S427"/>
  <c r="H428"/>
  <c r="G428"/>
  <c r="Z426"/>
  <c r="Y425"/>
  <c r="AD425" s="1"/>
  <c r="E427" l="1"/>
  <c r="D427" s="1"/>
  <c r="Q426"/>
  <c r="Z425"/>
  <c r="Y424"/>
  <c r="AD424" s="1"/>
  <c r="Z424" l="1"/>
  <c r="Y423"/>
  <c r="AD423" s="1"/>
  <c r="H427"/>
  <c r="G427"/>
  <c r="R426"/>
  <c r="S426"/>
  <c r="E426" l="1"/>
  <c r="D426" s="1"/>
  <c r="Q425"/>
  <c r="Z423"/>
  <c r="Y422"/>
  <c r="AD422" s="1"/>
  <c r="R425" l="1"/>
  <c r="S425"/>
  <c r="Z422"/>
  <c r="Y421"/>
  <c r="AD421" s="1"/>
  <c r="H426"/>
  <c r="G426"/>
  <c r="Z421" l="1"/>
  <c r="Y420"/>
  <c r="AD420" s="1"/>
  <c r="E425"/>
  <c r="D425" s="1"/>
  <c r="Q424"/>
  <c r="Z420" l="1"/>
  <c r="H425"/>
  <c r="G425"/>
  <c r="R424"/>
  <c r="S424"/>
  <c r="E424" l="1"/>
  <c r="D424" s="1"/>
  <c r="Q423"/>
  <c r="H424" l="1"/>
  <c r="G424"/>
  <c r="R423"/>
  <c r="S423"/>
  <c r="E423" l="1"/>
  <c r="D423" s="1"/>
  <c r="Q422"/>
  <c r="H423" l="1"/>
  <c r="G423"/>
  <c r="R422"/>
  <c r="S422"/>
  <c r="E422" l="1"/>
  <c r="D422" s="1"/>
  <c r="Q421"/>
  <c r="H422" l="1"/>
  <c r="G422"/>
  <c r="R421"/>
  <c r="S421"/>
  <c r="E421" l="1"/>
  <c r="D421" s="1"/>
  <c r="Q420"/>
  <c r="R420" l="1"/>
  <c r="E420" s="1"/>
  <c r="D420" s="1"/>
  <c r="S420"/>
  <c r="H421"/>
  <c r="G421"/>
  <c r="H420" l="1"/>
  <c r="T420" s="1"/>
  <c r="G420"/>
  <c r="U420" l="1"/>
  <c r="T421" s="1"/>
  <c r="V420"/>
  <c r="W420" s="1"/>
  <c r="AB420" s="1"/>
  <c r="C440" l="1"/>
  <c r="U421"/>
  <c r="T422" s="1"/>
  <c r="V421"/>
  <c r="W421" s="1"/>
  <c r="AB421" s="1"/>
  <c r="X440" l="1"/>
  <c r="I440"/>
  <c r="K440"/>
  <c r="M440" s="1"/>
  <c r="N440" s="1"/>
  <c r="C441"/>
  <c r="U422"/>
  <c r="T423" s="1"/>
  <c r="V422"/>
  <c r="W422" s="1"/>
  <c r="AB422" s="1"/>
  <c r="O440" l="1"/>
  <c r="X441"/>
  <c r="I441"/>
  <c r="K441"/>
  <c r="M441" s="1"/>
  <c r="N441" s="1"/>
  <c r="C442"/>
  <c r="U423"/>
  <c r="T424" s="1"/>
  <c r="V423"/>
  <c r="W423" s="1"/>
  <c r="AB423" s="1"/>
  <c r="P440"/>
  <c r="O441" l="1"/>
  <c r="I442"/>
  <c r="X442"/>
  <c r="K442"/>
  <c r="M442" s="1"/>
  <c r="N442" s="1"/>
  <c r="C443"/>
  <c r="P441"/>
  <c r="U424"/>
  <c r="T425" s="1"/>
  <c r="V424"/>
  <c r="W424" s="1"/>
  <c r="AB424" s="1"/>
  <c r="O442" l="1"/>
  <c r="K443"/>
  <c r="M443" s="1"/>
  <c r="N443" s="1"/>
  <c r="I443"/>
  <c r="X443"/>
  <c r="C444"/>
  <c r="P442"/>
  <c r="U425"/>
  <c r="T426" s="1"/>
  <c r="V425"/>
  <c r="W425" s="1"/>
  <c r="AB425" s="1"/>
  <c r="O443" l="1"/>
  <c r="I444"/>
  <c r="X444"/>
  <c r="K444"/>
  <c r="M444" s="1"/>
  <c r="N444" s="1"/>
  <c r="C445"/>
  <c r="P443"/>
  <c r="U426"/>
  <c r="T427" s="1"/>
  <c r="V426"/>
  <c r="W426" s="1"/>
  <c r="AB426" s="1"/>
  <c r="O444" l="1"/>
  <c r="I445"/>
  <c r="X445"/>
  <c r="K445"/>
  <c r="M445" s="1"/>
  <c r="N445" s="1"/>
  <c r="C446"/>
  <c r="U427"/>
  <c r="T428" s="1"/>
  <c r="V427"/>
  <c r="W427" s="1"/>
  <c r="AB427" s="1"/>
  <c r="P444"/>
  <c r="O445" l="1"/>
  <c r="I446"/>
  <c r="X446"/>
  <c r="K446"/>
  <c r="M446" s="1"/>
  <c r="N446" s="1"/>
  <c r="C447"/>
  <c r="P445"/>
  <c r="U428"/>
  <c r="T429" s="1"/>
  <c r="V428"/>
  <c r="W428" s="1"/>
  <c r="AB428" s="1"/>
  <c r="O446" l="1"/>
  <c r="K447"/>
  <c r="M447" s="1"/>
  <c r="N447" s="1"/>
  <c r="I447"/>
  <c r="X447"/>
  <c r="C448"/>
  <c r="P446"/>
  <c r="U429"/>
  <c r="U430" s="1"/>
  <c r="V429"/>
  <c r="W429" s="1"/>
  <c r="AB429" s="1"/>
  <c r="O447" l="1"/>
  <c r="I448"/>
  <c r="X448"/>
  <c r="K448"/>
  <c r="M448" s="1"/>
  <c r="N448" s="1"/>
  <c r="C449"/>
  <c r="P447"/>
  <c r="O448" l="1"/>
  <c r="I449"/>
  <c r="X449"/>
  <c r="K449"/>
  <c r="M449" s="1"/>
  <c r="N449" s="1"/>
  <c r="P448"/>
  <c r="O449" l="1"/>
  <c r="N450"/>
  <c r="N451" s="1"/>
  <c r="P449"/>
  <c r="P451" s="1"/>
  <c r="AE451" l="1"/>
  <c r="AE450" s="1"/>
  <c r="AE449" s="1"/>
  <c r="AE448" s="1"/>
  <c r="AE447" s="1"/>
  <c r="AE446" s="1"/>
  <c r="AE445" s="1"/>
  <c r="AE444" s="1"/>
  <c r="AE443" s="1"/>
  <c r="AE442" s="1"/>
  <c r="AE441" s="1"/>
  <c r="AE440" s="1"/>
  <c r="Y450"/>
  <c r="Y449" s="1"/>
  <c r="AD449" s="1"/>
  <c r="AC440"/>
  <c r="AC441" s="1"/>
  <c r="AC442" s="1"/>
  <c r="AC443" s="1"/>
  <c r="AC444" s="1"/>
  <c r="AC445" s="1"/>
  <c r="AC446" s="1"/>
  <c r="AC447" s="1"/>
  <c r="AC448" s="1"/>
  <c r="AC449" s="1"/>
  <c r="R449"/>
  <c r="S449"/>
  <c r="Q448" l="1"/>
  <c r="E449"/>
  <c r="D449" s="1"/>
  <c r="Y448"/>
  <c r="AD448" s="1"/>
  <c r="Z449"/>
  <c r="Y447" l="1"/>
  <c r="AD447" s="1"/>
  <c r="Z448"/>
  <c r="R448"/>
  <c r="S448"/>
  <c r="G449"/>
  <c r="H449"/>
  <c r="Q447" l="1"/>
  <c r="E448"/>
  <c r="D448" s="1"/>
  <c r="Y446"/>
  <c r="AD446" s="1"/>
  <c r="Z447"/>
  <c r="Y445" l="1"/>
  <c r="AD445" s="1"/>
  <c r="Z446"/>
  <c r="R447"/>
  <c r="S447"/>
  <c r="G448"/>
  <c r="H448"/>
  <c r="Q446" l="1"/>
  <c r="E447"/>
  <c r="D447" s="1"/>
  <c r="Y444"/>
  <c r="AD444" s="1"/>
  <c r="Z445"/>
  <c r="Y443" l="1"/>
  <c r="AD443" s="1"/>
  <c r="Z444"/>
  <c r="R446"/>
  <c r="S446"/>
  <c r="G447"/>
  <c r="H447"/>
  <c r="Q445" l="1"/>
  <c r="E446"/>
  <c r="D446" s="1"/>
  <c r="Y442"/>
  <c r="AD442" s="1"/>
  <c r="Z443"/>
  <c r="Y441" l="1"/>
  <c r="AD441" s="1"/>
  <c r="Z442"/>
  <c r="R445"/>
  <c r="S445"/>
  <c r="G446"/>
  <c r="H446"/>
  <c r="Q444" l="1"/>
  <c r="E445"/>
  <c r="D445" s="1"/>
  <c r="Y440"/>
  <c r="AD440" s="1"/>
  <c r="Z441"/>
  <c r="Z440" l="1"/>
  <c r="R444"/>
  <c r="S444"/>
  <c r="G445"/>
  <c r="H445"/>
  <c r="Q443" l="1"/>
  <c r="E444"/>
  <c r="D444" s="1"/>
  <c r="G444" l="1"/>
  <c r="H444"/>
  <c r="R443"/>
  <c r="S443"/>
  <c r="Q442" l="1"/>
  <c r="E443"/>
  <c r="D443" s="1"/>
  <c r="G443" l="1"/>
  <c r="H443"/>
  <c r="R442"/>
  <c r="S442"/>
  <c r="Q441" l="1"/>
  <c r="E442"/>
  <c r="D442" s="1"/>
  <c r="G442" l="1"/>
  <c r="H442"/>
  <c r="R441"/>
  <c r="S441"/>
  <c r="Q440" l="1"/>
  <c r="E441"/>
  <c r="D441" s="1"/>
  <c r="G441" l="1"/>
  <c r="H441"/>
  <c r="R440"/>
  <c r="E440" s="1"/>
  <c r="D440" s="1"/>
  <c r="S440"/>
  <c r="G440" l="1"/>
  <c r="H440"/>
  <c r="T440" s="1"/>
  <c r="U440" l="1"/>
  <c r="T441" s="1"/>
  <c r="V440"/>
  <c r="W440" s="1"/>
  <c r="AB440" s="1"/>
  <c r="C460" l="1"/>
  <c r="U441"/>
  <c r="T442" s="1"/>
  <c r="V441"/>
  <c r="W441" s="1"/>
  <c r="AB441" s="1"/>
  <c r="K460" l="1"/>
  <c r="M460" s="1"/>
  <c r="N460" s="1"/>
  <c r="I460"/>
  <c r="X460"/>
  <c r="C461"/>
  <c r="U442"/>
  <c r="T443" s="1"/>
  <c r="V442"/>
  <c r="W442" s="1"/>
  <c r="AB442" s="1"/>
  <c r="O460" l="1"/>
  <c r="I461"/>
  <c r="X461"/>
  <c r="K461"/>
  <c r="M461" s="1"/>
  <c r="N461" s="1"/>
  <c r="C462"/>
  <c r="P460"/>
  <c r="U443"/>
  <c r="T444" s="1"/>
  <c r="V443"/>
  <c r="W443" s="1"/>
  <c r="AB443" s="1"/>
  <c r="O461" l="1"/>
  <c r="K462"/>
  <c r="M462" s="1"/>
  <c r="N462" s="1"/>
  <c r="X462"/>
  <c r="I462"/>
  <c r="C463"/>
  <c r="U444"/>
  <c r="T445" s="1"/>
  <c r="V444"/>
  <c r="W444" s="1"/>
  <c r="AB444" s="1"/>
  <c r="P461"/>
  <c r="O462" l="1"/>
  <c r="X463"/>
  <c r="I463"/>
  <c r="K463"/>
  <c r="M463" s="1"/>
  <c r="N463" s="1"/>
  <c r="C464"/>
  <c r="P462"/>
  <c r="U445"/>
  <c r="T446" s="1"/>
  <c r="V445"/>
  <c r="W445" s="1"/>
  <c r="AB445" s="1"/>
  <c r="O463" l="1"/>
  <c r="K464"/>
  <c r="M464" s="1"/>
  <c r="N464" s="1"/>
  <c r="X464"/>
  <c r="I464"/>
  <c r="C465"/>
  <c r="U446"/>
  <c r="T447" s="1"/>
  <c r="V446"/>
  <c r="W446" s="1"/>
  <c r="AB446" s="1"/>
  <c r="P463"/>
  <c r="O464" l="1"/>
  <c r="K465"/>
  <c r="M465" s="1"/>
  <c r="N465" s="1"/>
  <c r="X465"/>
  <c r="I465"/>
  <c r="C466"/>
  <c r="P464"/>
  <c r="U447"/>
  <c r="T448" s="1"/>
  <c r="V447"/>
  <c r="W447" s="1"/>
  <c r="AB447" s="1"/>
  <c r="O465" l="1"/>
  <c r="K466"/>
  <c r="M466" s="1"/>
  <c r="N466" s="1"/>
  <c r="X466"/>
  <c r="I466"/>
  <c r="C467"/>
  <c r="U448"/>
  <c r="T449" s="1"/>
  <c r="V448"/>
  <c r="W448" s="1"/>
  <c r="AB448" s="1"/>
  <c r="P465"/>
  <c r="O466" l="1"/>
  <c r="X467"/>
  <c r="I467"/>
  <c r="K467"/>
  <c r="M467" s="1"/>
  <c r="N467" s="1"/>
  <c r="C468"/>
  <c r="P466"/>
  <c r="U449"/>
  <c r="U450" s="1"/>
  <c r="V449"/>
  <c r="W449" s="1"/>
  <c r="AB449" s="1"/>
  <c r="O467" l="1"/>
  <c r="K468"/>
  <c r="M468" s="1"/>
  <c r="N468" s="1"/>
  <c r="X468"/>
  <c r="I468"/>
  <c r="C469"/>
  <c r="P467"/>
  <c r="O468" l="1"/>
  <c r="X469"/>
  <c r="I469"/>
  <c r="K469"/>
  <c r="M469" s="1"/>
  <c r="N469" s="1"/>
  <c r="P468"/>
  <c r="O469" l="1"/>
  <c r="N470"/>
  <c r="N471" s="1"/>
  <c r="P469"/>
  <c r="P471" s="1"/>
  <c r="Y470" l="1"/>
  <c r="Y469" s="1"/>
  <c r="AD469" s="1"/>
  <c r="AE471"/>
  <c r="AE470" s="1"/>
  <c r="AE469" s="1"/>
  <c r="AE468" s="1"/>
  <c r="AE467" s="1"/>
  <c r="AE466" s="1"/>
  <c r="AE465" s="1"/>
  <c r="AE464" s="1"/>
  <c r="AE463" s="1"/>
  <c r="AE462" s="1"/>
  <c r="AE461" s="1"/>
  <c r="AE460" s="1"/>
  <c r="AC460"/>
  <c r="AC461" s="1"/>
  <c r="AC462" s="1"/>
  <c r="AC463" s="1"/>
  <c r="AC464" s="1"/>
  <c r="AC465" s="1"/>
  <c r="AC466" s="1"/>
  <c r="AC467" s="1"/>
  <c r="AC468" s="1"/>
  <c r="AC469" s="1"/>
  <c r="R469"/>
  <c r="S469"/>
  <c r="E469" l="1"/>
  <c r="D469" s="1"/>
  <c r="Q468"/>
  <c r="Z469"/>
  <c r="Y468"/>
  <c r="AD468" s="1"/>
  <c r="Z468" l="1"/>
  <c r="Y467"/>
  <c r="AD467" s="1"/>
  <c r="H469"/>
  <c r="G469"/>
  <c r="R468"/>
  <c r="S468"/>
  <c r="E468" l="1"/>
  <c r="D468" s="1"/>
  <c r="Q467"/>
  <c r="Z467"/>
  <c r="Y466"/>
  <c r="AD466" s="1"/>
  <c r="Z466" l="1"/>
  <c r="Y465"/>
  <c r="AD465" s="1"/>
  <c r="H468"/>
  <c r="G468"/>
  <c r="R467"/>
  <c r="S467"/>
  <c r="E467" l="1"/>
  <c r="D467" s="1"/>
  <c r="Q466"/>
  <c r="Z465"/>
  <c r="Y464"/>
  <c r="AD464" s="1"/>
  <c r="Z464" l="1"/>
  <c r="Y463"/>
  <c r="AD463" s="1"/>
  <c r="H467"/>
  <c r="G467"/>
  <c r="R466"/>
  <c r="S466"/>
  <c r="E466" l="1"/>
  <c r="D466" s="1"/>
  <c r="Q465"/>
  <c r="Z463"/>
  <c r="Y462"/>
  <c r="AD462" s="1"/>
  <c r="R465" l="1"/>
  <c r="S465"/>
  <c r="Z462"/>
  <c r="Y461"/>
  <c r="AD461" s="1"/>
  <c r="H466"/>
  <c r="G466"/>
  <c r="Z461" l="1"/>
  <c r="Y460"/>
  <c r="AD460" s="1"/>
  <c r="E465"/>
  <c r="D465" s="1"/>
  <c r="Q464"/>
  <c r="Z460" l="1"/>
  <c r="R464"/>
  <c r="S464"/>
  <c r="H465"/>
  <c r="G465"/>
  <c r="E464" l="1"/>
  <c r="D464" s="1"/>
  <c r="Q463"/>
  <c r="R463" l="1"/>
  <c r="S463"/>
  <c r="H464"/>
  <c r="G464"/>
  <c r="E463" l="1"/>
  <c r="D463" s="1"/>
  <c r="Q462"/>
  <c r="H463" l="1"/>
  <c r="G463"/>
  <c r="R462"/>
  <c r="S462"/>
  <c r="E462" l="1"/>
  <c r="D462" s="1"/>
  <c r="Q461"/>
  <c r="H462" l="1"/>
  <c r="G462"/>
  <c r="R461"/>
  <c r="S461"/>
  <c r="E461" l="1"/>
  <c r="D461" s="1"/>
  <c r="Q460"/>
  <c r="H461" l="1"/>
  <c r="G461"/>
  <c r="R460"/>
  <c r="E460" s="1"/>
  <c r="D460" s="1"/>
  <c r="S460"/>
  <c r="H460" l="1"/>
  <c r="T460" s="1"/>
  <c r="G460"/>
  <c r="U460" l="1"/>
  <c r="T461" s="1"/>
  <c r="V460"/>
  <c r="W460" s="1"/>
  <c r="AB460" s="1"/>
  <c r="C480" l="1"/>
  <c r="U461"/>
  <c r="T462" s="1"/>
  <c r="V461"/>
  <c r="W461" s="1"/>
  <c r="AB461" s="1"/>
  <c r="X480" l="1"/>
  <c r="I480"/>
  <c r="K480"/>
  <c r="M480" s="1"/>
  <c r="N480" s="1"/>
  <c r="C481"/>
  <c r="U462"/>
  <c r="T463" s="1"/>
  <c r="V462"/>
  <c r="W462" s="1"/>
  <c r="AB462" s="1"/>
  <c r="O480" l="1"/>
  <c r="X481"/>
  <c r="I481"/>
  <c r="K481"/>
  <c r="M481" s="1"/>
  <c r="N481" s="1"/>
  <c r="C482"/>
  <c r="U463"/>
  <c r="T464" s="1"/>
  <c r="V463"/>
  <c r="W463" s="1"/>
  <c r="AB463" s="1"/>
  <c r="P480"/>
  <c r="O481" l="1"/>
  <c r="K482"/>
  <c r="M482" s="1"/>
  <c r="N482" s="1"/>
  <c r="I482"/>
  <c r="X482"/>
  <c r="C483"/>
  <c r="P481"/>
  <c r="U464"/>
  <c r="T465" s="1"/>
  <c r="V464"/>
  <c r="W464" s="1"/>
  <c r="AB464" s="1"/>
  <c r="O482" l="1"/>
  <c r="K483"/>
  <c r="M483" s="1"/>
  <c r="N483" s="1"/>
  <c r="I483"/>
  <c r="X483"/>
  <c r="C484"/>
  <c r="P482"/>
  <c r="U465"/>
  <c r="T466" s="1"/>
  <c r="V465"/>
  <c r="W465" s="1"/>
  <c r="AB465" s="1"/>
  <c r="O483" l="1"/>
  <c r="I484"/>
  <c r="X484"/>
  <c r="K484"/>
  <c r="M484" s="1"/>
  <c r="N484" s="1"/>
  <c r="C485"/>
  <c r="P483"/>
  <c r="U466"/>
  <c r="T467" s="1"/>
  <c r="V466"/>
  <c r="W466" s="1"/>
  <c r="AB466" s="1"/>
  <c r="O484" l="1"/>
  <c r="I485"/>
  <c r="X485"/>
  <c r="K485"/>
  <c r="M485" s="1"/>
  <c r="N485" s="1"/>
  <c r="C486"/>
  <c r="U467"/>
  <c r="T468" s="1"/>
  <c r="V467"/>
  <c r="W467" s="1"/>
  <c r="AB467" s="1"/>
  <c r="P484"/>
  <c r="O485" l="1"/>
  <c r="I486"/>
  <c r="X486"/>
  <c r="K486"/>
  <c r="M486" s="1"/>
  <c r="N486" s="1"/>
  <c r="C487"/>
  <c r="P485"/>
  <c r="U468"/>
  <c r="T469" s="1"/>
  <c r="V468"/>
  <c r="W468" s="1"/>
  <c r="AB468" s="1"/>
  <c r="O486" l="1"/>
  <c r="K487"/>
  <c r="M487" s="1"/>
  <c r="N487" s="1"/>
  <c r="X487"/>
  <c r="I487"/>
  <c r="C488"/>
  <c r="P486"/>
  <c r="U469"/>
  <c r="U470" s="1"/>
  <c r="V469"/>
  <c r="W469" s="1"/>
  <c r="AB469" s="1"/>
  <c r="O487" l="1"/>
  <c r="I488"/>
  <c r="X488"/>
  <c r="K488"/>
  <c r="M488" s="1"/>
  <c r="N488" s="1"/>
  <c r="C489"/>
  <c r="P487"/>
  <c r="O488" l="1"/>
  <c r="I489"/>
  <c r="X489"/>
  <c r="K489"/>
  <c r="M489" s="1"/>
  <c r="N489" s="1"/>
  <c r="P488"/>
  <c r="O489" l="1"/>
  <c r="N490"/>
  <c r="N491" s="1"/>
  <c r="P489"/>
  <c r="P491" s="1"/>
  <c r="AE491" l="1"/>
  <c r="AE490" s="1"/>
  <c r="AE489" s="1"/>
  <c r="AE488" s="1"/>
  <c r="AE487" s="1"/>
  <c r="AE486" s="1"/>
  <c r="AE485" s="1"/>
  <c r="AE484" s="1"/>
  <c r="AE483" s="1"/>
  <c r="AE482" s="1"/>
  <c r="AE481" s="1"/>
  <c r="AE480" s="1"/>
  <c r="Y490"/>
  <c r="Y489" s="1"/>
  <c r="AD489" s="1"/>
  <c r="AC480"/>
  <c r="AC481" s="1"/>
  <c r="AC482" s="1"/>
  <c r="AC483" s="1"/>
  <c r="AC484" s="1"/>
  <c r="AC485" s="1"/>
  <c r="AC486" s="1"/>
  <c r="AC487" s="1"/>
  <c r="AC488" s="1"/>
  <c r="AC489" s="1"/>
  <c r="R489"/>
  <c r="S489"/>
  <c r="Q488" l="1"/>
  <c r="E489"/>
  <c r="D489" s="1"/>
  <c r="Y488"/>
  <c r="AD488" s="1"/>
  <c r="Z489"/>
  <c r="Y487" l="1"/>
  <c r="AD487" s="1"/>
  <c r="Z488"/>
  <c r="R488"/>
  <c r="S488"/>
  <c r="G489"/>
  <c r="H489"/>
  <c r="Q487" l="1"/>
  <c r="E488"/>
  <c r="D488" s="1"/>
  <c r="Y486"/>
  <c r="AD486" s="1"/>
  <c r="Z487"/>
  <c r="Y485" l="1"/>
  <c r="AD485" s="1"/>
  <c r="Z486"/>
  <c r="R487"/>
  <c r="S487"/>
  <c r="G488"/>
  <c r="H488"/>
  <c r="Q486" l="1"/>
  <c r="E487"/>
  <c r="D487" s="1"/>
  <c r="Y484"/>
  <c r="AD484" s="1"/>
  <c r="Z485"/>
  <c r="Y483" l="1"/>
  <c r="AD483" s="1"/>
  <c r="Z484"/>
  <c r="R486"/>
  <c r="S486"/>
  <c r="G487"/>
  <c r="H487"/>
  <c r="Q485" l="1"/>
  <c r="E486"/>
  <c r="D486" s="1"/>
  <c r="Y482"/>
  <c r="AD482" s="1"/>
  <c r="Z483"/>
  <c r="Y481" l="1"/>
  <c r="AD481" s="1"/>
  <c r="Z482"/>
  <c r="R485"/>
  <c r="S485"/>
  <c r="G486"/>
  <c r="H486"/>
  <c r="Q484" l="1"/>
  <c r="E485"/>
  <c r="D485" s="1"/>
  <c r="Y480"/>
  <c r="AD480" s="1"/>
  <c r="Z481"/>
  <c r="Z480" l="1"/>
  <c r="R484"/>
  <c r="S484"/>
  <c r="G485"/>
  <c r="H485"/>
  <c r="Q483" l="1"/>
  <c r="E484"/>
  <c r="D484" s="1"/>
  <c r="R483" l="1"/>
  <c r="S483"/>
  <c r="G484"/>
  <c r="H484"/>
  <c r="Q482" l="1"/>
  <c r="E483"/>
  <c r="D483" s="1"/>
  <c r="G483" l="1"/>
  <c r="H483"/>
  <c r="R482"/>
  <c r="S482"/>
  <c r="Q481" l="1"/>
  <c r="E482"/>
  <c r="D482" s="1"/>
  <c r="G482" l="1"/>
  <c r="H482"/>
  <c r="R481"/>
  <c r="S481"/>
  <c r="Q480" l="1"/>
  <c r="E481"/>
  <c r="D481" s="1"/>
  <c r="G481" l="1"/>
  <c r="H481"/>
  <c r="R480"/>
  <c r="E480" s="1"/>
  <c r="D480" s="1"/>
  <c r="S480"/>
  <c r="G480" l="1"/>
  <c r="H480"/>
  <c r="T480" s="1"/>
  <c r="U480" l="1"/>
  <c r="T481" s="1"/>
  <c r="V480"/>
  <c r="W480" s="1"/>
  <c r="AB480" s="1"/>
  <c r="C500" l="1"/>
  <c r="U481"/>
  <c r="T482" s="1"/>
  <c r="V481"/>
  <c r="W481" s="1"/>
  <c r="AB481" s="1"/>
  <c r="K500" l="1"/>
  <c r="M500" s="1"/>
  <c r="N500" s="1"/>
  <c r="I500"/>
  <c r="X500"/>
  <c r="C501"/>
  <c r="U482"/>
  <c r="T483" s="1"/>
  <c r="V482"/>
  <c r="W482" s="1"/>
  <c r="AB482" s="1"/>
  <c r="O500" l="1"/>
  <c r="X501"/>
  <c r="I501"/>
  <c r="K501"/>
  <c r="M501" s="1"/>
  <c r="N501" s="1"/>
  <c r="C502"/>
  <c r="U483"/>
  <c r="T484" s="1"/>
  <c r="V483"/>
  <c r="W483" s="1"/>
  <c r="AB483" s="1"/>
  <c r="P500"/>
  <c r="O501" l="1"/>
  <c r="K502"/>
  <c r="M502" s="1"/>
  <c r="N502" s="1"/>
  <c r="X502"/>
  <c r="I502"/>
  <c r="C503"/>
  <c r="U484"/>
  <c r="T485" s="1"/>
  <c r="V484"/>
  <c r="W484" s="1"/>
  <c r="AB484" s="1"/>
  <c r="P501"/>
  <c r="O502" l="1"/>
  <c r="K503"/>
  <c r="M503" s="1"/>
  <c r="N503" s="1"/>
  <c r="X503"/>
  <c r="I503"/>
  <c r="C504"/>
  <c r="P502"/>
  <c r="U485"/>
  <c r="T486" s="1"/>
  <c r="V485"/>
  <c r="W485" s="1"/>
  <c r="AB485" s="1"/>
  <c r="O503" l="1"/>
  <c r="K504"/>
  <c r="M504" s="1"/>
  <c r="N504" s="1"/>
  <c r="X504"/>
  <c r="I504"/>
  <c r="C505"/>
  <c r="U486"/>
  <c r="T487" s="1"/>
  <c r="V486"/>
  <c r="W486" s="1"/>
  <c r="AB486" s="1"/>
  <c r="P503"/>
  <c r="O504" l="1"/>
  <c r="K505"/>
  <c r="M505" s="1"/>
  <c r="N505" s="1"/>
  <c r="X505"/>
  <c r="I505"/>
  <c r="C506"/>
  <c r="P504"/>
  <c r="U487"/>
  <c r="T488" s="1"/>
  <c r="V487"/>
  <c r="W487" s="1"/>
  <c r="AB487" s="1"/>
  <c r="O505" l="1"/>
  <c r="K506"/>
  <c r="M506" s="1"/>
  <c r="N506" s="1"/>
  <c r="X506"/>
  <c r="I506"/>
  <c r="C507"/>
  <c r="U488"/>
  <c r="T489" s="1"/>
  <c r="V488"/>
  <c r="W488" s="1"/>
  <c r="AB488" s="1"/>
  <c r="P505"/>
  <c r="O506" l="1"/>
  <c r="X507"/>
  <c r="I507"/>
  <c r="K507"/>
  <c r="M507" s="1"/>
  <c r="N507" s="1"/>
  <c r="C508"/>
  <c r="P506"/>
  <c r="U489"/>
  <c r="U490" s="1"/>
  <c r="V489"/>
  <c r="W489" s="1"/>
  <c r="AB489" s="1"/>
  <c r="O507" l="1"/>
  <c r="K508"/>
  <c r="M508" s="1"/>
  <c r="N508" s="1"/>
  <c r="X508"/>
  <c r="I508"/>
  <c r="C509"/>
  <c r="P507"/>
  <c r="O508" l="1"/>
  <c r="X509"/>
  <c r="I509"/>
  <c r="K509"/>
  <c r="M509" s="1"/>
  <c r="N509" s="1"/>
  <c r="P508"/>
  <c r="O509" l="1"/>
  <c r="N510"/>
  <c r="N511" s="1"/>
  <c r="P509"/>
  <c r="P511" s="1"/>
  <c r="R509" l="1"/>
  <c r="S509"/>
  <c r="Y510"/>
  <c r="Y509" s="1"/>
  <c r="AD509" s="1"/>
  <c r="AE511"/>
  <c r="AE510" s="1"/>
  <c r="AE509" s="1"/>
  <c r="AE508" s="1"/>
  <c r="AE507" s="1"/>
  <c r="AE506" s="1"/>
  <c r="AE505" s="1"/>
  <c r="AE504" s="1"/>
  <c r="AE503" s="1"/>
  <c r="AE502" s="1"/>
  <c r="AE501" s="1"/>
  <c r="AE500" s="1"/>
  <c r="AC500"/>
  <c r="AC501" s="1"/>
  <c r="AC502" s="1"/>
  <c r="AC503" s="1"/>
  <c r="AC504" s="1"/>
  <c r="AC505" s="1"/>
  <c r="AC506" s="1"/>
  <c r="AC507" s="1"/>
  <c r="AC508" s="1"/>
  <c r="AC509" s="1"/>
  <c r="E509" l="1"/>
  <c r="D509" s="1"/>
  <c r="Q508"/>
  <c r="Z509"/>
  <c r="Y508"/>
  <c r="AD508" s="1"/>
  <c r="H509" l="1"/>
  <c r="G509"/>
  <c r="Z508"/>
  <c r="Y507"/>
  <c r="AD507" s="1"/>
  <c r="R508"/>
  <c r="S508"/>
  <c r="Z507" l="1"/>
  <c r="Y506"/>
  <c r="AD506" s="1"/>
  <c r="E508"/>
  <c r="D508" s="1"/>
  <c r="Q507"/>
  <c r="R507" l="1"/>
  <c r="S507"/>
  <c r="H508"/>
  <c r="G508"/>
  <c r="Z506"/>
  <c r="Y505"/>
  <c r="AD505" s="1"/>
  <c r="E507" l="1"/>
  <c r="D507" s="1"/>
  <c r="Q506"/>
  <c r="Z505"/>
  <c r="Y504"/>
  <c r="AD504" s="1"/>
  <c r="Z504" l="1"/>
  <c r="Y503"/>
  <c r="AD503" s="1"/>
  <c r="H507"/>
  <c r="G507"/>
  <c r="R506"/>
  <c r="S506"/>
  <c r="E506" l="1"/>
  <c r="D506" s="1"/>
  <c r="Q505"/>
  <c r="Z503"/>
  <c r="Y502"/>
  <c r="AD502" s="1"/>
  <c r="Z502" l="1"/>
  <c r="Y501"/>
  <c r="AD501" s="1"/>
  <c r="H506"/>
  <c r="G506"/>
  <c r="R505"/>
  <c r="S505"/>
  <c r="E505" l="1"/>
  <c r="D505" s="1"/>
  <c r="Q504"/>
  <c r="Z501"/>
  <c r="Y500"/>
  <c r="AD500" s="1"/>
  <c r="Z500" l="1"/>
  <c r="H505"/>
  <c r="G505"/>
  <c r="R504"/>
  <c r="S504"/>
  <c r="E504" l="1"/>
  <c r="D504" s="1"/>
  <c r="Q503"/>
  <c r="R503" l="1"/>
  <c r="S503"/>
  <c r="H504"/>
  <c r="G504"/>
  <c r="E503" l="1"/>
  <c r="D503" s="1"/>
  <c r="Q502"/>
  <c r="R502" l="1"/>
  <c r="S502"/>
  <c r="H503"/>
  <c r="G503"/>
  <c r="E502" l="1"/>
  <c r="D502" s="1"/>
  <c r="Q501"/>
  <c r="R501" l="1"/>
  <c r="S501"/>
  <c r="H502"/>
  <c r="G502"/>
  <c r="E501" l="1"/>
  <c r="D501" s="1"/>
  <c r="Q500"/>
  <c r="R500" l="1"/>
  <c r="E500" s="1"/>
  <c r="D500" s="1"/>
  <c r="S500"/>
  <c r="H501"/>
  <c r="G501"/>
  <c r="H500" l="1"/>
  <c r="T500" s="1"/>
  <c r="G500"/>
  <c r="U500" l="1"/>
  <c r="T501" s="1"/>
  <c r="V500"/>
  <c r="W500" s="1"/>
  <c r="AB500" s="1"/>
  <c r="C520" l="1"/>
  <c r="U501"/>
  <c r="T502" s="1"/>
  <c r="V501"/>
  <c r="W501" s="1"/>
  <c r="AB501" s="1"/>
  <c r="X520" l="1"/>
  <c r="K520"/>
  <c r="M520" s="1"/>
  <c r="N520" s="1"/>
  <c r="I520"/>
  <c r="C521"/>
  <c r="U502"/>
  <c r="T503" s="1"/>
  <c r="V502"/>
  <c r="W502" s="1"/>
  <c r="AB502" s="1"/>
  <c r="O520" l="1"/>
  <c r="X521"/>
  <c r="I521"/>
  <c r="K521"/>
  <c r="M521" s="1"/>
  <c r="N521" s="1"/>
  <c r="C522"/>
  <c r="U503"/>
  <c r="T504" s="1"/>
  <c r="V503"/>
  <c r="W503" s="1"/>
  <c r="AB503" s="1"/>
  <c r="P520"/>
  <c r="O521" l="1"/>
  <c r="I522"/>
  <c r="K522"/>
  <c r="M522" s="1"/>
  <c r="N522" s="1"/>
  <c r="X522"/>
  <c r="C523"/>
  <c r="P521"/>
  <c r="U504"/>
  <c r="T505" s="1"/>
  <c r="V504"/>
  <c r="W504" s="1"/>
  <c r="AB504" s="1"/>
  <c r="O522" l="1"/>
  <c r="K523"/>
  <c r="M523" s="1"/>
  <c r="N523" s="1"/>
  <c r="I523"/>
  <c r="X523"/>
  <c r="C524"/>
  <c r="P522"/>
  <c r="U505"/>
  <c r="T506" s="1"/>
  <c r="V505"/>
  <c r="W505" s="1"/>
  <c r="AB505" s="1"/>
  <c r="O523" l="1"/>
  <c r="I524"/>
  <c r="X524"/>
  <c r="K524"/>
  <c r="M524" s="1"/>
  <c r="N524" s="1"/>
  <c r="C525"/>
  <c r="P523"/>
  <c r="U506"/>
  <c r="T507" s="1"/>
  <c r="V506"/>
  <c r="W506" s="1"/>
  <c r="AB506" s="1"/>
  <c r="O524" l="1"/>
  <c r="I525"/>
  <c r="X525"/>
  <c r="K525"/>
  <c r="M525" s="1"/>
  <c r="N525" s="1"/>
  <c r="C526"/>
  <c r="U507"/>
  <c r="T508" s="1"/>
  <c r="V507"/>
  <c r="W507" s="1"/>
  <c r="AB507" s="1"/>
  <c r="P524"/>
  <c r="O525" l="1"/>
  <c r="K526"/>
  <c r="M526" s="1"/>
  <c r="N526" s="1"/>
  <c r="X526"/>
  <c r="I526"/>
  <c r="C527"/>
  <c r="P525"/>
  <c r="U508"/>
  <c r="T509" s="1"/>
  <c r="V508"/>
  <c r="W508" s="1"/>
  <c r="AB508" s="1"/>
  <c r="O526" l="1"/>
  <c r="K527"/>
  <c r="M527" s="1"/>
  <c r="N527" s="1"/>
  <c r="I527"/>
  <c r="X527"/>
  <c r="C528"/>
  <c r="P526"/>
  <c r="U509"/>
  <c r="U510" s="1"/>
  <c r="V509"/>
  <c r="W509" s="1"/>
  <c r="AB509" s="1"/>
  <c r="O527" l="1"/>
  <c r="I528"/>
  <c r="X528"/>
  <c r="K528"/>
  <c r="M528" s="1"/>
  <c r="N528" s="1"/>
  <c r="C529"/>
  <c r="P527"/>
  <c r="O528" l="1"/>
  <c r="I529"/>
  <c r="X529"/>
  <c r="K529"/>
  <c r="M529" s="1"/>
  <c r="N529" s="1"/>
  <c r="P528"/>
  <c r="O529" l="1"/>
  <c r="N530"/>
  <c r="N531" s="1"/>
  <c r="P529"/>
  <c r="P531" s="1"/>
  <c r="AE531" l="1"/>
  <c r="AE530" s="1"/>
  <c r="AE529" s="1"/>
  <c r="AE528" s="1"/>
  <c r="AE527" s="1"/>
  <c r="AE526" s="1"/>
  <c r="AE525" s="1"/>
  <c r="AE524" s="1"/>
  <c r="AE523" s="1"/>
  <c r="AE522" s="1"/>
  <c r="AE521" s="1"/>
  <c r="AE520" s="1"/>
  <c r="Y530"/>
  <c r="Y529" s="1"/>
  <c r="AD529" s="1"/>
  <c r="AC520"/>
  <c r="AC521" s="1"/>
  <c r="AC522" s="1"/>
  <c r="AC523" s="1"/>
  <c r="AC524" s="1"/>
  <c r="AC525" s="1"/>
  <c r="AC526" s="1"/>
  <c r="AC527" s="1"/>
  <c r="AC528" s="1"/>
  <c r="AC529" s="1"/>
  <c r="R529"/>
  <c r="S529"/>
  <c r="Q528" l="1"/>
  <c r="E529"/>
  <c r="D529" s="1"/>
  <c r="Y528"/>
  <c r="AD528" s="1"/>
  <c r="Z529"/>
  <c r="Y527" l="1"/>
  <c r="AD527" s="1"/>
  <c r="Z528"/>
  <c r="R528"/>
  <c r="S528"/>
  <c r="G529"/>
  <c r="H529"/>
  <c r="Q527" l="1"/>
  <c r="E528"/>
  <c r="D528" s="1"/>
  <c r="Y526"/>
  <c r="AD526" s="1"/>
  <c r="Z527"/>
  <c r="Y525" l="1"/>
  <c r="AD525" s="1"/>
  <c r="Z526"/>
  <c r="R527"/>
  <c r="S527"/>
  <c r="G528"/>
  <c r="H528"/>
  <c r="Q526" l="1"/>
  <c r="E527"/>
  <c r="D527" s="1"/>
  <c r="Y524"/>
  <c r="AD524" s="1"/>
  <c r="Z525"/>
  <c r="Y523" l="1"/>
  <c r="AD523" s="1"/>
  <c r="Z524"/>
  <c r="R526"/>
  <c r="S526"/>
  <c r="G527"/>
  <c r="H527"/>
  <c r="Q525" l="1"/>
  <c r="E526"/>
  <c r="D526" s="1"/>
  <c r="Y522"/>
  <c r="AD522" s="1"/>
  <c r="Z523"/>
  <c r="Y521" l="1"/>
  <c r="AD521" s="1"/>
  <c r="Z522"/>
  <c r="R525"/>
  <c r="S525"/>
  <c r="G526"/>
  <c r="H526"/>
  <c r="Q524" l="1"/>
  <c r="E525"/>
  <c r="D525" s="1"/>
  <c r="Y520"/>
  <c r="AD520" s="1"/>
  <c r="Z521"/>
  <c r="Z520" l="1"/>
  <c r="R524"/>
  <c r="S524"/>
  <c r="G525"/>
  <c r="H525"/>
  <c r="Q523" l="1"/>
  <c r="E524"/>
  <c r="D524" s="1"/>
  <c r="G524" l="1"/>
  <c r="H524"/>
  <c r="R523"/>
  <c r="S523"/>
  <c r="Q522" l="1"/>
  <c r="E523"/>
  <c r="D523" s="1"/>
  <c r="G523" l="1"/>
  <c r="H523"/>
  <c r="R522"/>
  <c r="S522"/>
  <c r="Q521" l="1"/>
  <c r="E522"/>
  <c r="D522" s="1"/>
  <c r="G522" l="1"/>
  <c r="H522"/>
  <c r="R521"/>
  <c r="S521"/>
  <c r="Q520" l="1"/>
  <c r="E521"/>
  <c r="D521" s="1"/>
  <c r="G521" l="1"/>
  <c r="H521"/>
  <c r="R520"/>
  <c r="E520" s="1"/>
  <c r="D520" s="1"/>
  <c r="S520"/>
  <c r="G520" l="1"/>
  <c r="H520"/>
  <c r="T520" s="1"/>
  <c r="U520" l="1"/>
  <c r="T521" s="1"/>
  <c r="V520"/>
  <c r="W520" s="1"/>
  <c r="AB520" s="1"/>
  <c r="C540" l="1"/>
  <c r="U521"/>
  <c r="T522" s="1"/>
  <c r="V521"/>
  <c r="W521" s="1"/>
  <c r="AB521" s="1"/>
  <c r="K540" l="1"/>
  <c r="M540" s="1"/>
  <c r="N540" s="1"/>
  <c r="X540"/>
  <c r="I540"/>
  <c r="C541"/>
  <c r="U522"/>
  <c r="T523" s="1"/>
  <c r="V522"/>
  <c r="W522" s="1"/>
  <c r="AB522" s="1"/>
  <c r="O540" l="1"/>
  <c r="I541"/>
  <c r="X541"/>
  <c r="K541"/>
  <c r="M541" s="1"/>
  <c r="N541" s="1"/>
  <c r="C542"/>
  <c r="P540"/>
  <c r="U523"/>
  <c r="T524" s="1"/>
  <c r="V523"/>
  <c r="W523" s="1"/>
  <c r="AB523" s="1"/>
  <c r="O541" l="1"/>
  <c r="K542"/>
  <c r="M542" s="1"/>
  <c r="N542" s="1"/>
  <c r="X542"/>
  <c r="I542"/>
  <c r="C543"/>
  <c r="U524"/>
  <c r="T525" s="1"/>
  <c r="V524"/>
  <c r="W524" s="1"/>
  <c r="AB524" s="1"/>
  <c r="P541"/>
  <c r="O542" l="1"/>
  <c r="X543"/>
  <c r="I543"/>
  <c r="K543"/>
  <c r="M543" s="1"/>
  <c r="N543" s="1"/>
  <c r="C544"/>
  <c r="P542"/>
  <c r="U525"/>
  <c r="T526" s="1"/>
  <c r="V525"/>
  <c r="W525" s="1"/>
  <c r="AB525" s="1"/>
  <c r="O543" l="1"/>
  <c r="K544"/>
  <c r="M544" s="1"/>
  <c r="N544" s="1"/>
  <c r="X544"/>
  <c r="I544"/>
  <c r="C545"/>
  <c r="U526"/>
  <c r="T527" s="1"/>
  <c r="V526"/>
  <c r="W526" s="1"/>
  <c r="AB526" s="1"/>
  <c r="P543"/>
  <c r="O544" l="1"/>
  <c r="X545"/>
  <c r="I545"/>
  <c r="K545"/>
  <c r="M545" s="1"/>
  <c r="N545" s="1"/>
  <c r="C546"/>
  <c r="P544"/>
  <c r="U527"/>
  <c r="T528" s="1"/>
  <c r="V527"/>
  <c r="W527" s="1"/>
  <c r="AB527" s="1"/>
  <c r="O545" l="1"/>
  <c r="I546"/>
  <c r="K546"/>
  <c r="M546" s="1"/>
  <c r="N546" s="1"/>
  <c r="X546"/>
  <c r="C547"/>
  <c r="U528"/>
  <c r="T529" s="1"/>
  <c r="V528"/>
  <c r="W528" s="1"/>
  <c r="AB528" s="1"/>
  <c r="P545"/>
  <c r="O546" l="1"/>
  <c r="X547"/>
  <c r="I547"/>
  <c r="K547"/>
  <c r="M547" s="1"/>
  <c r="N547" s="1"/>
  <c r="C548"/>
  <c r="P546"/>
  <c r="U529"/>
  <c r="U530" s="1"/>
  <c r="V529"/>
  <c r="W529" s="1"/>
  <c r="AB529" s="1"/>
  <c r="O547" l="1"/>
  <c r="K548"/>
  <c r="M548" s="1"/>
  <c r="N548" s="1"/>
  <c r="X548"/>
  <c r="I548"/>
  <c r="C549"/>
  <c r="P547"/>
  <c r="O548" l="1"/>
  <c r="X549"/>
  <c r="I549"/>
  <c r="K549"/>
  <c r="M549" s="1"/>
  <c r="N549" s="1"/>
  <c r="P548"/>
  <c r="O549" l="1"/>
  <c r="N550"/>
  <c r="N551" s="1"/>
  <c r="P549"/>
  <c r="P551" s="1"/>
  <c r="R549" l="1"/>
  <c r="S549"/>
  <c r="Y550"/>
  <c r="Y549" s="1"/>
  <c r="AD549" s="1"/>
  <c r="AE551"/>
  <c r="AE550" s="1"/>
  <c r="AE549" s="1"/>
  <c r="AE548" s="1"/>
  <c r="AE547" s="1"/>
  <c r="AE546" s="1"/>
  <c r="AE545" s="1"/>
  <c r="AE544" s="1"/>
  <c r="AE543" s="1"/>
  <c r="AE542" s="1"/>
  <c r="AE541" s="1"/>
  <c r="AE540" s="1"/>
  <c r="AC540"/>
  <c r="AC541" s="1"/>
  <c r="AC542" s="1"/>
  <c r="AC543" s="1"/>
  <c r="AC544" s="1"/>
  <c r="AC545" s="1"/>
  <c r="AC546" s="1"/>
  <c r="AC547" s="1"/>
  <c r="AC548" s="1"/>
  <c r="AC549" s="1"/>
  <c r="E549" l="1"/>
  <c r="D549" s="1"/>
  <c r="Q548"/>
  <c r="Z549"/>
  <c r="Y548"/>
  <c r="AD548" s="1"/>
  <c r="H549" l="1"/>
  <c r="G549"/>
  <c r="Z548"/>
  <c r="Y547"/>
  <c r="AD547" s="1"/>
  <c r="R548"/>
  <c r="S548"/>
  <c r="Z547" l="1"/>
  <c r="Y546"/>
  <c r="AD546" s="1"/>
  <c r="E548"/>
  <c r="D548" s="1"/>
  <c r="Q547"/>
  <c r="R547" l="1"/>
  <c r="S547"/>
  <c r="H548"/>
  <c r="G548"/>
  <c r="Z546"/>
  <c r="Y545"/>
  <c r="AD545" s="1"/>
  <c r="Z545" l="1"/>
  <c r="Y544"/>
  <c r="AD544" s="1"/>
  <c r="E547"/>
  <c r="D547" s="1"/>
  <c r="Q546"/>
  <c r="H547" l="1"/>
  <c r="G547"/>
  <c r="R546"/>
  <c r="S546"/>
  <c r="Z544"/>
  <c r="Y543"/>
  <c r="AD543" s="1"/>
  <c r="E546" l="1"/>
  <c r="D546" s="1"/>
  <c r="Q545"/>
  <c r="Z543"/>
  <c r="Y542"/>
  <c r="AD542" s="1"/>
  <c r="H546" l="1"/>
  <c r="G546"/>
  <c r="Z542"/>
  <c r="Y541"/>
  <c r="AD541" s="1"/>
  <c r="R545"/>
  <c r="S545"/>
  <c r="Z541" l="1"/>
  <c r="Y540"/>
  <c r="AD540" s="1"/>
  <c r="E545"/>
  <c r="D545" s="1"/>
  <c r="Q544"/>
  <c r="Z540" l="1"/>
  <c r="R544"/>
  <c r="S544"/>
  <c r="H545"/>
  <c r="G545"/>
  <c r="E544" l="1"/>
  <c r="D544" s="1"/>
  <c r="Q543"/>
  <c r="R543" l="1"/>
  <c r="S543"/>
  <c r="H544"/>
  <c r="G544"/>
  <c r="E543" l="1"/>
  <c r="D543" s="1"/>
  <c r="Q542"/>
  <c r="R542" l="1"/>
  <c r="S542"/>
  <c r="H543"/>
  <c r="G543"/>
  <c r="E542" l="1"/>
  <c r="D542" s="1"/>
  <c r="Q541"/>
  <c r="R541" l="1"/>
  <c r="S541"/>
  <c r="H542"/>
  <c r="G542"/>
  <c r="E541" l="1"/>
  <c r="D541" s="1"/>
  <c r="Q540"/>
  <c r="R540" l="1"/>
  <c r="E540" s="1"/>
  <c r="D540" s="1"/>
  <c r="S540"/>
  <c r="H541"/>
  <c r="G541"/>
  <c r="H540" l="1"/>
  <c r="T540" s="1"/>
  <c r="G540"/>
  <c r="U540" l="1"/>
  <c r="T541" s="1"/>
  <c r="V540"/>
  <c r="W540" s="1"/>
  <c r="AB540" s="1"/>
  <c r="C560" l="1"/>
  <c r="U541"/>
  <c r="T542" s="1"/>
  <c r="V541"/>
  <c r="W541" s="1"/>
  <c r="AB541" s="1"/>
  <c r="X560" l="1"/>
  <c r="K560"/>
  <c r="M560" s="1"/>
  <c r="N560" s="1"/>
  <c r="I560"/>
  <c r="C561"/>
  <c r="U542"/>
  <c r="T543" s="1"/>
  <c r="V542"/>
  <c r="W542" s="1"/>
  <c r="AB542" s="1"/>
  <c r="O560" l="1"/>
  <c r="X561"/>
  <c r="I561"/>
  <c r="K561"/>
  <c r="M561" s="1"/>
  <c r="N561" s="1"/>
  <c r="C562"/>
  <c r="U543"/>
  <c r="T544" s="1"/>
  <c r="V543"/>
  <c r="W543" s="1"/>
  <c r="AB543" s="1"/>
  <c r="P560"/>
  <c r="O561" l="1"/>
  <c r="I562"/>
  <c r="X562"/>
  <c r="K562"/>
  <c r="M562" s="1"/>
  <c r="N562" s="1"/>
  <c r="C563"/>
  <c r="P561"/>
  <c r="U544"/>
  <c r="T545" s="1"/>
  <c r="V544"/>
  <c r="W544" s="1"/>
  <c r="AB544" s="1"/>
  <c r="O562" l="1"/>
  <c r="K563"/>
  <c r="M563" s="1"/>
  <c r="N563" s="1"/>
  <c r="X563"/>
  <c r="I563"/>
  <c r="C564"/>
  <c r="P562"/>
  <c r="U545"/>
  <c r="T546" s="1"/>
  <c r="V545"/>
  <c r="W545" s="1"/>
  <c r="AB545" s="1"/>
  <c r="O563" l="1"/>
  <c r="I564"/>
  <c r="X564"/>
  <c r="K564"/>
  <c r="M564" s="1"/>
  <c r="N564" s="1"/>
  <c r="C565"/>
  <c r="P563"/>
  <c r="U546"/>
  <c r="T547" s="1"/>
  <c r="V546"/>
  <c r="W546" s="1"/>
  <c r="AB546" s="1"/>
  <c r="O564" l="1"/>
  <c r="I565"/>
  <c r="X565"/>
  <c r="K565"/>
  <c r="M565" s="1"/>
  <c r="N565" s="1"/>
  <c r="C566"/>
  <c r="U547"/>
  <c r="T548" s="1"/>
  <c r="V547"/>
  <c r="W547" s="1"/>
  <c r="AB547" s="1"/>
  <c r="P564"/>
  <c r="O565" l="1"/>
  <c r="K566"/>
  <c r="M566" s="1"/>
  <c r="N566" s="1"/>
  <c r="X566"/>
  <c r="I566"/>
  <c r="C567"/>
  <c r="P565"/>
  <c r="U548"/>
  <c r="T549" s="1"/>
  <c r="V548"/>
  <c r="W548" s="1"/>
  <c r="AB548" s="1"/>
  <c r="O566" l="1"/>
  <c r="K567"/>
  <c r="M567" s="1"/>
  <c r="N567" s="1"/>
  <c r="I567"/>
  <c r="X567"/>
  <c r="C568"/>
  <c r="P566"/>
  <c r="U549"/>
  <c r="U550" s="1"/>
  <c r="V549"/>
  <c r="W549" s="1"/>
  <c r="AB549" s="1"/>
  <c r="O567" l="1"/>
  <c r="I568"/>
  <c r="X568"/>
  <c r="K568"/>
  <c r="M568" s="1"/>
  <c r="N568" s="1"/>
  <c r="C569"/>
  <c r="P567"/>
  <c r="O568" l="1"/>
  <c r="I569"/>
  <c r="X569"/>
  <c r="K569"/>
  <c r="M569" s="1"/>
  <c r="N569" s="1"/>
  <c r="P568"/>
  <c r="O569" l="1"/>
  <c r="N570"/>
  <c r="N571" s="1"/>
  <c r="P569"/>
  <c r="P571" s="1"/>
  <c r="AE571" l="1"/>
  <c r="AE570" s="1"/>
  <c r="AE569" s="1"/>
  <c r="AE568" s="1"/>
  <c r="AE567" s="1"/>
  <c r="AE566" s="1"/>
  <c r="AE565" s="1"/>
  <c r="AE564" s="1"/>
  <c r="AE563" s="1"/>
  <c r="AE562" s="1"/>
  <c r="AE561" s="1"/>
  <c r="AE560" s="1"/>
  <c r="Y570"/>
  <c r="Y569" s="1"/>
  <c r="AD569" s="1"/>
  <c r="AC560"/>
  <c r="AC561" s="1"/>
  <c r="AC562" s="1"/>
  <c r="AC563" s="1"/>
  <c r="AC564" s="1"/>
  <c r="AC565" s="1"/>
  <c r="AC566" s="1"/>
  <c r="AC567" s="1"/>
  <c r="AC568" s="1"/>
  <c r="AC569" s="1"/>
  <c r="R569"/>
  <c r="S569"/>
  <c r="Q568" l="1"/>
  <c r="E569"/>
  <c r="D569" s="1"/>
  <c r="Y568"/>
  <c r="AD568" s="1"/>
  <c r="Z569"/>
  <c r="Y567" l="1"/>
  <c r="AD567" s="1"/>
  <c r="Z568"/>
  <c r="R568"/>
  <c r="S568"/>
  <c r="G569"/>
  <c r="H569"/>
  <c r="Q567" l="1"/>
  <c r="E568"/>
  <c r="D568" s="1"/>
  <c r="Y566"/>
  <c r="AD566" s="1"/>
  <c r="Z567"/>
  <c r="Y565" l="1"/>
  <c r="AD565" s="1"/>
  <c r="Z566"/>
  <c r="R567"/>
  <c r="S567"/>
  <c r="G568"/>
  <c r="H568"/>
  <c r="Q566" l="1"/>
  <c r="E567"/>
  <c r="D567" s="1"/>
  <c r="Y564"/>
  <c r="AD564" s="1"/>
  <c r="Z565"/>
  <c r="Y563" l="1"/>
  <c r="AD563" s="1"/>
  <c r="Z564"/>
  <c r="R566"/>
  <c r="S566"/>
  <c r="G567"/>
  <c r="H567"/>
  <c r="Q565" l="1"/>
  <c r="E566"/>
  <c r="D566" s="1"/>
  <c r="Y562"/>
  <c r="AD562" s="1"/>
  <c r="Z563"/>
  <c r="Y561" l="1"/>
  <c r="AD561" s="1"/>
  <c r="Z562"/>
  <c r="R565"/>
  <c r="S565"/>
  <c r="G566"/>
  <c r="H566"/>
  <c r="Q564" l="1"/>
  <c r="E565"/>
  <c r="D565" s="1"/>
  <c r="Y560"/>
  <c r="AD560" s="1"/>
  <c r="Z561"/>
  <c r="Z560" l="1"/>
  <c r="R564"/>
  <c r="S564"/>
  <c r="G565"/>
  <c r="H565"/>
  <c r="Q563" l="1"/>
  <c r="E564"/>
  <c r="D564" s="1"/>
  <c r="G564" l="1"/>
  <c r="H564"/>
  <c r="R563"/>
  <c r="S563"/>
  <c r="Q562" l="1"/>
  <c r="E563"/>
  <c r="D563" s="1"/>
  <c r="G563" l="1"/>
  <c r="H563"/>
  <c r="R562"/>
  <c r="S562"/>
  <c r="Q561" l="1"/>
  <c r="E562"/>
  <c r="D562" s="1"/>
  <c r="G562" l="1"/>
  <c r="H562"/>
  <c r="R561"/>
  <c r="S561"/>
  <c r="Q560" l="1"/>
  <c r="E561"/>
  <c r="D561" s="1"/>
  <c r="G561" l="1"/>
  <c r="H561"/>
  <c r="R560"/>
  <c r="E560" s="1"/>
  <c r="D560" s="1"/>
  <c r="S560"/>
  <c r="G560" l="1"/>
  <c r="H560"/>
  <c r="T560" s="1"/>
  <c r="U560" l="1"/>
  <c r="T561" s="1"/>
  <c r="V560"/>
  <c r="W560" s="1"/>
  <c r="AB560" s="1"/>
  <c r="C580" l="1"/>
  <c r="U561"/>
  <c r="T562" s="1"/>
  <c r="V561"/>
  <c r="W561" s="1"/>
  <c r="AB561" s="1"/>
  <c r="K580" l="1"/>
  <c r="M580" s="1"/>
  <c r="N580" s="1"/>
  <c r="X580"/>
  <c r="I580"/>
  <c r="C581"/>
  <c r="U562"/>
  <c r="T563" s="1"/>
  <c r="V562"/>
  <c r="W562" s="1"/>
  <c r="AB562" s="1"/>
  <c r="O580" l="1"/>
  <c r="I581"/>
  <c r="X581"/>
  <c r="K581"/>
  <c r="M581" s="1"/>
  <c r="N581" s="1"/>
  <c r="C582"/>
  <c r="U563"/>
  <c r="T564" s="1"/>
  <c r="V563"/>
  <c r="W563" s="1"/>
  <c r="AB563" s="1"/>
  <c r="P580"/>
  <c r="O581" l="1"/>
  <c r="K582"/>
  <c r="M582" s="1"/>
  <c r="N582" s="1"/>
  <c r="X582"/>
  <c r="I582"/>
  <c r="C583"/>
  <c r="U564"/>
  <c r="T565" s="1"/>
  <c r="V564"/>
  <c r="W564" s="1"/>
  <c r="AB564" s="1"/>
  <c r="P581"/>
  <c r="O582" l="1"/>
  <c r="K583"/>
  <c r="M583" s="1"/>
  <c r="N583" s="1"/>
  <c r="X583"/>
  <c r="I583"/>
  <c r="C584"/>
  <c r="P582"/>
  <c r="U565"/>
  <c r="T566" s="1"/>
  <c r="V565"/>
  <c r="W565" s="1"/>
  <c r="AB565" s="1"/>
  <c r="O583" l="1"/>
  <c r="K584"/>
  <c r="M584" s="1"/>
  <c r="N584" s="1"/>
  <c r="X584"/>
  <c r="I584"/>
  <c r="C585"/>
  <c r="U566"/>
  <c r="T567" s="1"/>
  <c r="V566"/>
  <c r="W566" s="1"/>
  <c r="AB566" s="1"/>
  <c r="P583"/>
  <c r="O584" l="1"/>
  <c r="K585"/>
  <c r="M585" s="1"/>
  <c r="N585" s="1"/>
  <c r="X585"/>
  <c r="I585"/>
  <c r="C586"/>
  <c r="P584"/>
  <c r="U567"/>
  <c r="T568" s="1"/>
  <c r="V567"/>
  <c r="W567" s="1"/>
  <c r="AB567" s="1"/>
  <c r="O585" l="1"/>
  <c r="K586"/>
  <c r="M586" s="1"/>
  <c r="N586" s="1"/>
  <c r="X586"/>
  <c r="I586"/>
  <c r="C587"/>
  <c r="U568"/>
  <c r="T569" s="1"/>
  <c r="V568"/>
  <c r="W568" s="1"/>
  <c r="AB568" s="1"/>
  <c r="P585"/>
  <c r="O586" l="1"/>
  <c r="X587"/>
  <c r="I587"/>
  <c r="K587"/>
  <c r="M587" s="1"/>
  <c r="N587" s="1"/>
  <c r="C588"/>
  <c r="P586"/>
  <c r="U569"/>
  <c r="U570" s="1"/>
  <c r="V569"/>
  <c r="W569" s="1"/>
  <c r="AB569" s="1"/>
  <c r="O587" l="1"/>
  <c r="K588"/>
  <c r="M588" s="1"/>
  <c r="N588" s="1"/>
  <c r="X588"/>
  <c r="I588"/>
  <c r="C589"/>
  <c r="P587"/>
  <c r="O588" l="1"/>
  <c r="X589"/>
  <c r="I589"/>
  <c r="K589"/>
  <c r="M589" s="1"/>
  <c r="N589" s="1"/>
  <c r="P588"/>
  <c r="O589" l="1"/>
  <c r="N590"/>
  <c r="N591" s="1"/>
  <c r="P589"/>
  <c r="P591" s="1"/>
  <c r="R589" l="1"/>
  <c r="S589"/>
  <c r="Y590"/>
  <c r="Y589" s="1"/>
  <c r="AD589" s="1"/>
  <c r="AE591"/>
  <c r="AE590" s="1"/>
  <c r="AE589" s="1"/>
  <c r="AE588" s="1"/>
  <c r="AE587" s="1"/>
  <c r="AE586" s="1"/>
  <c r="AE585" s="1"/>
  <c r="AE584" s="1"/>
  <c r="AE583" s="1"/>
  <c r="AE582" s="1"/>
  <c r="AE581" s="1"/>
  <c r="AE580" s="1"/>
  <c r="AC580"/>
  <c r="AC581" s="1"/>
  <c r="AC582" s="1"/>
  <c r="AC583" s="1"/>
  <c r="AC584" s="1"/>
  <c r="AC585" s="1"/>
  <c r="AC586" s="1"/>
  <c r="AC587" s="1"/>
  <c r="AC588" s="1"/>
  <c r="AC589" s="1"/>
  <c r="E589" l="1"/>
  <c r="D589" s="1"/>
  <c r="Q588"/>
  <c r="Z589"/>
  <c r="Y588"/>
  <c r="AD588" s="1"/>
  <c r="H589" l="1"/>
  <c r="G589"/>
  <c r="Z588"/>
  <c r="Y587"/>
  <c r="AD587" s="1"/>
  <c r="R588"/>
  <c r="S588"/>
  <c r="Z587" l="1"/>
  <c r="Y586"/>
  <c r="AD586" s="1"/>
  <c r="E588"/>
  <c r="D588" s="1"/>
  <c r="Q587"/>
  <c r="R587" l="1"/>
  <c r="S587"/>
  <c r="H588"/>
  <c r="G588"/>
  <c r="Z586"/>
  <c r="Y585"/>
  <c r="AD585" s="1"/>
  <c r="E587" l="1"/>
  <c r="D587" s="1"/>
  <c r="Q586"/>
  <c r="Z585"/>
  <c r="Y584"/>
  <c r="AD584" s="1"/>
  <c r="Z584" l="1"/>
  <c r="Y583"/>
  <c r="AD583" s="1"/>
  <c r="H587"/>
  <c r="G587"/>
  <c r="R586"/>
  <c r="S586"/>
  <c r="E586" l="1"/>
  <c r="D586" s="1"/>
  <c r="Q585"/>
  <c r="Z583"/>
  <c r="Y582"/>
  <c r="AD582" s="1"/>
  <c r="Z582" l="1"/>
  <c r="Y581"/>
  <c r="AD581" s="1"/>
  <c r="H586"/>
  <c r="G586"/>
  <c r="R585"/>
  <c r="S585"/>
  <c r="E585" l="1"/>
  <c r="D585" s="1"/>
  <c r="Q584"/>
  <c r="Z581"/>
  <c r="Y580"/>
  <c r="AD580" s="1"/>
  <c r="Z580" l="1"/>
  <c r="H585"/>
  <c r="G585"/>
  <c r="R584"/>
  <c r="S584"/>
  <c r="E584" l="1"/>
  <c r="D584" s="1"/>
  <c r="Q583"/>
  <c r="H584" l="1"/>
  <c r="G584"/>
  <c r="R583"/>
  <c r="S583"/>
  <c r="E583" l="1"/>
  <c r="D583" s="1"/>
  <c r="Q582"/>
  <c r="H583" l="1"/>
  <c r="G583"/>
  <c r="R582"/>
  <c r="S582"/>
  <c r="E582" l="1"/>
  <c r="D582" s="1"/>
  <c r="Q581"/>
  <c r="H582" l="1"/>
  <c r="G582"/>
  <c r="R581"/>
  <c r="S581"/>
  <c r="E581" l="1"/>
  <c r="D581" s="1"/>
  <c r="Q580"/>
  <c r="H581" l="1"/>
  <c r="G581"/>
  <c r="R580"/>
  <c r="E580" s="1"/>
  <c r="D580" s="1"/>
  <c r="S580"/>
  <c r="H580" l="1"/>
  <c r="T580" s="1"/>
  <c r="G580"/>
  <c r="U580" l="1"/>
  <c r="T581" s="1"/>
  <c r="V580"/>
  <c r="W580" s="1"/>
  <c r="AB580" s="1"/>
  <c r="C600" l="1"/>
  <c r="U581"/>
  <c r="T582" s="1"/>
  <c r="V581"/>
  <c r="W581" s="1"/>
  <c r="AB581" s="1"/>
  <c r="X600" l="1"/>
  <c r="I600"/>
  <c r="K600"/>
  <c r="M600" s="1"/>
  <c r="N600" s="1"/>
  <c r="C601"/>
  <c r="U582"/>
  <c r="T583" s="1"/>
  <c r="V582"/>
  <c r="W582" s="1"/>
  <c r="AB582" s="1"/>
  <c r="O600" l="1"/>
  <c r="I601"/>
  <c r="X601"/>
  <c r="K601"/>
  <c r="M601" s="1"/>
  <c r="N601" s="1"/>
  <c r="C602"/>
  <c r="P600"/>
  <c r="U583"/>
  <c r="T584" s="1"/>
  <c r="V583"/>
  <c r="W583" s="1"/>
  <c r="AB583" s="1"/>
  <c r="O601" l="1"/>
  <c r="K602"/>
  <c r="M602" s="1"/>
  <c r="N602" s="1"/>
  <c r="I602"/>
  <c r="X602"/>
  <c r="C603"/>
  <c r="P601"/>
  <c r="U584"/>
  <c r="T585" s="1"/>
  <c r="V584"/>
  <c r="W584" s="1"/>
  <c r="AB584" s="1"/>
  <c r="O602" l="1"/>
  <c r="I603"/>
  <c r="X603"/>
  <c r="K603"/>
  <c r="M603" s="1"/>
  <c r="N603" s="1"/>
  <c r="C604"/>
  <c r="U585"/>
  <c r="T586" s="1"/>
  <c r="V585"/>
  <c r="W585" s="1"/>
  <c r="AB585" s="1"/>
  <c r="P602"/>
  <c r="O603" l="1"/>
  <c r="K604"/>
  <c r="M604" s="1"/>
  <c r="N604" s="1"/>
  <c r="X604"/>
  <c r="I604"/>
  <c r="C605"/>
  <c r="P603"/>
  <c r="U586"/>
  <c r="T587" s="1"/>
  <c r="V586"/>
  <c r="W586" s="1"/>
  <c r="AB586" s="1"/>
  <c r="O604" l="1"/>
  <c r="K605"/>
  <c r="M605" s="1"/>
  <c r="N605" s="1"/>
  <c r="I605"/>
  <c r="X605"/>
  <c r="C606"/>
  <c r="P604"/>
  <c r="U587"/>
  <c r="T588" s="1"/>
  <c r="V587"/>
  <c r="W587" s="1"/>
  <c r="AB587" s="1"/>
  <c r="O605" l="1"/>
  <c r="I606"/>
  <c r="X606"/>
  <c r="K606"/>
  <c r="M606" s="1"/>
  <c r="N606" s="1"/>
  <c r="C607"/>
  <c r="P605"/>
  <c r="U588"/>
  <c r="T589" s="1"/>
  <c r="V588"/>
  <c r="W588" s="1"/>
  <c r="AB588" s="1"/>
  <c r="O606" l="1"/>
  <c r="I607"/>
  <c r="X607"/>
  <c r="K607"/>
  <c r="M607" s="1"/>
  <c r="N607" s="1"/>
  <c r="C608"/>
  <c r="U589"/>
  <c r="U590" s="1"/>
  <c r="V589"/>
  <c r="W589" s="1"/>
  <c r="AB589" s="1"/>
  <c r="P606"/>
  <c r="O607" l="1"/>
  <c r="I608"/>
  <c r="X608"/>
  <c r="K608"/>
  <c r="M608" s="1"/>
  <c r="N608" s="1"/>
  <c r="C609"/>
  <c r="P607"/>
  <c r="O608" l="1"/>
  <c r="K609"/>
  <c r="M609" s="1"/>
  <c r="N609" s="1"/>
  <c r="I609"/>
  <c r="X609"/>
  <c r="P608"/>
  <c r="O609" l="1"/>
  <c r="N610"/>
  <c r="N611" s="1"/>
  <c r="P609"/>
  <c r="P611" s="1"/>
  <c r="AE611" l="1"/>
  <c r="AE610" s="1"/>
  <c r="AE609" s="1"/>
  <c r="AE608" s="1"/>
  <c r="AE607" s="1"/>
  <c r="AE606" s="1"/>
  <c r="AE605" s="1"/>
  <c r="AE604" s="1"/>
  <c r="AE603" s="1"/>
  <c r="AE602" s="1"/>
  <c r="AE601" s="1"/>
  <c r="AE600" s="1"/>
  <c r="Y610"/>
  <c r="Y609" s="1"/>
  <c r="AD609" s="1"/>
  <c r="AC600"/>
  <c r="AC601" s="1"/>
  <c r="AC602" s="1"/>
  <c r="AC603" s="1"/>
  <c r="AC604" s="1"/>
  <c r="AC605" s="1"/>
  <c r="AC606" s="1"/>
  <c r="AC607" s="1"/>
  <c r="AC608" s="1"/>
  <c r="AC609" s="1"/>
  <c r="R609"/>
  <c r="S609"/>
  <c r="Q608" l="1"/>
  <c r="E609"/>
  <c r="D609" s="1"/>
  <c r="Y608"/>
  <c r="AD608" s="1"/>
  <c r="Z609"/>
  <c r="Y607" l="1"/>
  <c r="AD607" s="1"/>
  <c r="Z608"/>
  <c r="R608"/>
  <c r="S608"/>
  <c r="G609"/>
  <c r="H609"/>
  <c r="Q607" l="1"/>
  <c r="E608"/>
  <c r="D608" s="1"/>
  <c r="Y606"/>
  <c r="AD606" s="1"/>
  <c r="Z607"/>
  <c r="Y605" l="1"/>
  <c r="AD605" s="1"/>
  <c r="Z606"/>
  <c r="R607"/>
  <c r="S607"/>
  <c r="G608"/>
  <c r="H608"/>
  <c r="Q606" l="1"/>
  <c r="E607"/>
  <c r="D607" s="1"/>
  <c r="Y604"/>
  <c r="AD604" s="1"/>
  <c r="Z605"/>
  <c r="Y603" l="1"/>
  <c r="AD603" s="1"/>
  <c r="Z604"/>
  <c r="R606"/>
  <c r="S606"/>
  <c r="G607"/>
  <c r="H607"/>
  <c r="Q605" l="1"/>
  <c r="E606"/>
  <c r="D606" s="1"/>
  <c r="Y602"/>
  <c r="AD602" s="1"/>
  <c r="Z603"/>
  <c r="Y601" l="1"/>
  <c r="AD601" s="1"/>
  <c r="Z602"/>
  <c r="R605"/>
  <c r="S605"/>
  <c r="G606"/>
  <c r="H606"/>
  <c r="Q604" l="1"/>
  <c r="E605"/>
  <c r="D605" s="1"/>
  <c r="Y600"/>
  <c r="AD600" s="1"/>
  <c r="Z601"/>
  <c r="Z600" l="1"/>
  <c r="R604"/>
  <c r="S604"/>
  <c r="G605"/>
  <c r="H605"/>
  <c r="Q603" l="1"/>
  <c r="E604"/>
  <c r="D604" s="1"/>
  <c r="G604" l="1"/>
  <c r="H604"/>
  <c r="R603"/>
  <c r="S603"/>
  <c r="Q602" l="1"/>
  <c r="E603"/>
  <c r="D603" s="1"/>
  <c r="G603" l="1"/>
  <c r="H603"/>
  <c r="R602"/>
  <c r="S602"/>
  <c r="Q601" l="1"/>
  <c r="E602"/>
  <c r="D602" s="1"/>
  <c r="G602" l="1"/>
  <c r="H602"/>
  <c r="R601"/>
  <c r="S601"/>
  <c r="Q600" l="1"/>
  <c r="E601"/>
  <c r="D601" s="1"/>
  <c r="G601" l="1"/>
  <c r="H601"/>
  <c r="R600"/>
  <c r="E600" s="1"/>
  <c r="D600" s="1"/>
  <c r="S600"/>
  <c r="G600" l="1"/>
  <c r="H600"/>
  <c r="T600" s="1"/>
  <c r="U600" l="1"/>
  <c r="T601" s="1"/>
  <c r="V600"/>
  <c r="W600" s="1"/>
  <c r="AB600" s="1"/>
  <c r="C620" l="1"/>
  <c r="U601"/>
  <c r="T602" s="1"/>
  <c r="V601"/>
  <c r="W601" s="1"/>
  <c r="AB601" s="1"/>
  <c r="K620" l="1"/>
  <c r="M620" s="1"/>
  <c r="N620" s="1"/>
  <c r="I620"/>
  <c r="X620"/>
  <c r="C621"/>
  <c r="U602"/>
  <c r="T603" s="1"/>
  <c r="V602"/>
  <c r="W602" s="1"/>
  <c r="AB602" s="1"/>
  <c r="O620" l="1"/>
  <c r="I621"/>
  <c r="X621"/>
  <c r="K621"/>
  <c r="M621" s="1"/>
  <c r="N621" s="1"/>
  <c r="C622"/>
  <c r="P620"/>
  <c r="U603"/>
  <c r="T604" s="1"/>
  <c r="V603"/>
  <c r="W603" s="1"/>
  <c r="AB603" s="1"/>
  <c r="O621" l="1"/>
  <c r="X622"/>
  <c r="I622"/>
  <c r="K622"/>
  <c r="M622" s="1"/>
  <c r="N622" s="1"/>
  <c r="C623"/>
  <c r="P621"/>
  <c r="U604"/>
  <c r="T605" s="1"/>
  <c r="V604"/>
  <c r="W604" s="1"/>
  <c r="AB604" s="1"/>
  <c r="O622" l="1"/>
  <c r="X623"/>
  <c r="I623"/>
  <c r="K623"/>
  <c r="M623" s="1"/>
  <c r="N623" s="1"/>
  <c r="C624"/>
  <c r="U605"/>
  <c r="T606" s="1"/>
  <c r="V605"/>
  <c r="W605" s="1"/>
  <c r="AB605" s="1"/>
  <c r="P622"/>
  <c r="O623" l="1"/>
  <c r="I624"/>
  <c r="K624"/>
  <c r="M624" s="1"/>
  <c r="N624" s="1"/>
  <c r="X624"/>
  <c r="C625"/>
  <c r="P623"/>
  <c r="U606"/>
  <c r="T607" s="1"/>
  <c r="V606"/>
  <c r="W606" s="1"/>
  <c r="AB606" s="1"/>
  <c r="O624" l="1"/>
  <c r="K625"/>
  <c r="M625" s="1"/>
  <c r="N625" s="1"/>
  <c r="X625"/>
  <c r="I625"/>
  <c r="C626"/>
  <c r="P624"/>
  <c r="U607"/>
  <c r="T608" s="1"/>
  <c r="V607"/>
  <c r="W607" s="1"/>
  <c r="AB607" s="1"/>
  <c r="O625" l="1"/>
  <c r="X626"/>
  <c r="I626"/>
  <c r="K626"/>
  <c r="M626" s="1"/>
  <c r="N626" s="1"/>
  <c r="C627"/>
  <c r="U608"/>
  <c r="T609" s="1"/>
  <c r="V608"/>
  <c r="W608" s="1"/>
  <c r="AB608" s="1"/>
  <c r="P625"/>
  <c r="O626" l="1"/>
  <c r="X627"/>
  <c r="I627"/>
  <c r="K627"/>
  <c r="M627" s="1"/>
  <c r="N627" s="1"/>
  <c r="C628"/>
  <c r="P626"/>
  <c r="U609"/>
  <c r="U610" s="1"/>
  <c r="V609"/>
  <c r="W609" s="1"/>
  <c r="AB609" s="1"/>
  <c r="O627" l="1"/>
  <c r="K628"/>
  <c r="M628" s="1"/>
  <c r="N628" s="1"/>
  <c r="X628"/>
  <c r="I628"/>
  <c r="C629"/>
  <c r="P627"/>
  <c r="O628" l="1"/>
  <c r="X629"/>
  <c r="I629"/>
  <c r="K629"/>
  <c r="M629" s="1"/>
  <c r="N629" s="1"/>
  <c r="P628"/>
  <c r="O629" l="1"/>
  <c r="N630"/>
  <c r="N631" s="1"/>
  <c r="P629"/>
  <c r="P631" s="1"/>
  <c r="R629" l="1"/>
  <c r="S629"/>
  <c r="Y630"/>
  <c r="Y629" s="1"/>
  <c r="AD629" s="1"/>
  <c r="AE631"/>
  <c r="AE630" s="1"/>
  <c r="AE629" s="1"/>
  <c r="AE628" s="1"/>
  <c r="AE627" s="1"/>
  <c r="AE626" s="1"/>
  <c r="AE625" s="1"/>
  <c r="AE624" s="1"/>
  <c r="AE623" s="1"/>
  <c r="AE622" s="1"/>
  <c r="AE621" s="1"/>
  <c r="AE620" s="1"/>
  <c r="AC620"/>
  <c r="AC621" s="1"/>
  <c r="AC622" s="1"/>
  <c r="AC623" s="1"/>
  <c r="AC624" s="1"/>
  <c r="AC625" s="1"/>
  <c r="AC626" s="1"/>
  <c r="AC627" s="1"/>
  <c r="AC628" s="1"/>
  <c r="AC629" s="1"/>
  <c r="E629" l="1"/>
  <c r="D629" s="1"/>
  <c r="Q628"/>
  <c r="Z629"/>
  <c r="Y628"/>
  <c r="AD628" s="1"/>
  <c r="H629" l="1"/>
  <c r="G629"/>
  <c r="Z628"/>
  <c r="Y627"/>
  <c r="AD627" s="1"/>
  <c r="R628"/>
  <c r="S628"/>
  <c r="E628" l="1"/>
  <c r="D628" s="1"/>
  <c r="Q627"/>
  <c r="Z627"/>
  <c r="Y626"/>
  <c r="AD626" s="1"/>
  <c r="H628" l="1"/>
  <c r="G628"/>
  <c r="Z626"/>
  <c r="Y625"/>
  <c r="AD625" s="1"/>
  <c r="R627"/>
  <c r="S627"/>
  <c r="Z625" l="1"/>
  <c r="Y624"/>
  <c r="AD624" s="1"/>
  <c r="E627"/>
  <c r="D627" s="1"/>
  <c r="Q626"/>
  <c r="R626" l="1"/>
  <c r="S626"/>
  <c r="H627"/>
  <c r="G627"/>
  <c r="Z624"/>
  <c r="Y623"/>
  <c r="AD623" s="1"/>
  <c r="E626" l="1"/>
  <c r="D626" s="1"/>
  <c r="Q625"/>
  <c r="Z623"/>
  <c r="Y622"/>
  <c r="AD622" s="1"/>
  <c r="Z622" l="1"/>
  <c r="Y621"/>
  <c r="AD621" s="1"/>
  <c r="H626"/>
  <c r="G626"/>
  <c r="R625"/>
  <c r="S625"/>
  <c r="E625" l="1"/>
  <c r="D625" s="1"/>
  <c r="Q624"/>
  <c r="Z621"/>
  <c r="Y620"/>
  <c r="AD620" s="1"/>
  <c r="Z620" l="1"/>
  <c r="H625"/>
  <c r="G625"/>
  <c r="R624"/>
  <c r="S624"/>
  <c r="E624" l="1"/>
  <c r="D624" s="1"/>
  <c r="Q623"/>
  <c r="H624" l="1"/>
  <c r="G624"/>
  <c r="R623"/>
  <c r="S623"/>
  <c r="E623" l="1"/>
  <c r="D623" s="1"/>
  <c r="Q622"/>
  <c r="H623" l="1"/>
  <c r="G623"/>
  <c r="R622"/>
  <c r="S622"/>
  <c r="E622" l="1"/>
  <c r="D622" s="1"/>
  <c r="Q621"/>
  <c r="H622" l="1"/>
  <c r="G622"/>
  <c r="R621"/>
  <c r="S621"/>
  <c r="E621" l="1"/>
  <c r="D621" s="1"/>
  <c r="Q620"/>
  <c r="H621" l="1"/>
  <c r="G621"/>
  <c r="R620"/>
  <c r="E620" s="1"/>
  <c r="D620" s="1"/>
  <c r="S620"/>
  <c r="H620" l="1"/>
  <c r="T620" s="1"/>
  <c r="G620"/>
  <c r="U620" l="1"/>
  <c r="T621" s="1"/>
  <c r="V620"/>
  <c r="W620" s="1"/>
  <c r="AB620" s="1"/>
  <c r="C640" l="1"/>
  <c r="U621"/>
  <c r="T622" s="1"/>
  <c r="V621"/>
  <c r="W621" s="1"/>
  <c r="AB621" s="1"/>
  <c r="X640" l="1"/>
  <c r="I640"/>
  <c r="K640"/>
  <c r="M640" s="1"/>
  <c r="N640" s="1"/>
  <c r="C641"/>
  <c r="U622"/>
  <c r="T623" s="1"/>
  <c r="V622"/>
  <c r="W622" s="1"/>
  <c r="AB622" s="1"/>
  <c r="O640" l="1"/>
  <c r="X641"/>
  <c r="I641"/>
  <c r="K641"/>
  <c r="M641" s="1"/>
  <c r="N641" s="1"/>
  <c r="C642"/>
  <c r="U623"/>
  <c r="T624" s="1"/>
  <c r="V623"/>
  <c r="W623" s="1"/>
  <c r="AB623" s="1"/>
  <c r="P640"/>
  <c r="O641" l="1"/>
  <c r="K642"/>
  <c r="M642" s="1"/>
  <c r="N642" s="1"/>
  <c r="X642"/>
  <c r="I642"/>
  <c r="C643"/>
  <c r="P641"/>
  <c r="U624"/>
  <c r="T625" s="1"/>
  <c r="V624"/>
  <c r="W624" s="1"/>
  <c r="AB624" s="1"/>
  <c r="O642" l="1"/>
  <c r="K643"/>
  <c r="M643" s="1"/>
  <c r="N643" s="1"/>
  <c r="X643"/>
  <c r="I643"/>
  <c r="C644"/>
  <c r="P642"/>
  <c r="U625"/>
  <c r="T626" s="1"/>
  <c r="V625"/>
  <c r="W625" s="1"/>
  <c r="AB625" s="1"/>
  <c r="O643" l="1"/>
  <c r="I644"/>
  <c r="X644"/>
  <c r="K644"/>
  <c r="M644" s="1"/>
  <c r="N644" s="1"/>
  <c r="C645"/>
  <c r="P643"/>
  <c r="U626"/>
  <c r="T627" s="1"/>
  <c r="V626"/>
  <c r="W626" s="1"/>
  <c r="AB626" s="1"/>
  <c r="O644" l="1"/>
  <c r="K645"/>
  <c r="M645" s="1"/>
  <c r="N645" s="1"/>
  <c r="I645"/>
  <c r="X645"/>
  <c r="C646"/>
  <c r="U627"/>
  <c r="T628" s="1"/>
  <c r="V627"/>
  <c r="W627" s="1"/>
  <c r="AB627" s="1"/>
  <c r="P644"/>
  <c r="O645" l="1"/>
  <c r="K646"/>
  <c r="M646" s="1"/>
  <c r="N646" s="1"/>
  <c r="I646"/>
  <c r="X646"/>
  <c r="C647"/>
  <c r="P645"/>
  <c r="U628"/>
  <c r="T629" s="1"/>
  <c r="V628"/>
  <c r="W628" s="1"/>
  <c r="AB628" s="1"/>
  <c r="O646" l="1"/>
  <c r="K647"/>
  <c r="M647" s="1"/>
  <c r="N647" s="1"/>
  <c r="X647"/>
  <c r="I647"/>
  <c r="C648"/>
  <c r="P646"/>
  <c r="U629"/>
  <c r="U630" s="1"/>
  <c r="V629"/>
  <c r="W629" s="1"/>
  <c r="AB629" s="1"/>
  <c r="O647" l="1"/>
  <c r="I648"/>
  <c r="X648"/>
  <c r="K648"/>
  <c r="M648" s="1"/>
  <c r="N648" s="1"/>
  <c r="C649"/>
  <c r="P647"/>
  <c r="O648" l="1"/>
  <c r="I649"/>
  <c r="X649"/>
  <c r="K649"/>
  <c r="M649" s="1"/>
  <c r="N649" s="1"/>
  <c r="P648"/>
  <c r="O649" l="1"/>
  <c r="N650"/>
  <c r="N651" s="1"/>
  <c r="P649"/>
  <c r="P651" s="1"/>
  <c r="R649" l="1"/>
  <c r="S649"/>
  <c r="AE651"/>
  <c r="AE650" s="1"/>
  <c r="AE649" s="1"/>
  <c r="AE648" s="1"/>
  <c r="AE647" s="1"/>
  <c r="AE646" s="1"/>
  <c r="AE645" s="1"/>
  <c r="AE644" s="1"/>
  <c r="AE643" s="1"/>
  <c r="AE642" s="1"/>
  <c r="AE641" s="1"/>
  <c r="AE640" s="1"/>
  <c r="Y650"/>
  <c r="Y649" s="1"/>
  <c r="AD649" s="1"/>
  <c r="AC640"/>
  <c r="AC641" s="1"/>
  <c r="AC642" s="1"/>
  <c r="AC643" s="1"/>
  <c r="AC644" s="1"/>
  <c r="AC645" s="1"/>
  <c r="AC646" s="1"/>
  <c r="AC647" s="1"/>
  <c r="AC648" s="1"/>
  <c r="AC649" s="1"/>
  <c r="Y648" l="1"/>
  <c r="AD648" s="1"/>
  <c r="Z649"/>
  <c r="Q648"/>
  <c r="E649"/>
  <c r="D649" s="1"/>
  <c r="G649" l="1"/>
  <c r="H649"/>
  <c r="R648"/>
  <c r="S648"/>
  <c r="Y647"/>
  <c r="AD647" s="1"/>
  <c r="Z648"/>
  <c r="Y646" l="1"/>
  <c r="AD646" s="1"/>
  <c r="Z647"/>
  <c r="Q647"/>
  <c r="E648"/>
  <c r="D648" s="1"/>
  <c r="G648" l="1"/>
  <c r="H648"/>
  <c r="R647"/>
  <c r="S647"/>
  <c r="Y645"/>
  <c r="AD645" s="1"/>
  <c r="Z646"/>
  <c r="Y644" l="1"/>
  <c r="AD644" s="1"/>
  <c r="Z645"/>
  <c r="Q646"/>
  <c r="E647"/>
  <c r="D647" s="1"/>
  <c r="G647" l="1"/>
  <c r="H647"/>
  <c r="R646"/>
  <c r="S646"/>
  <c r="Y643"/>
  <c r="AD643" s="1"/>
  <c r="Z644"/>
  <c r="Y642" l="1"/>
  <c r="AD642" s="1"/>
  <c r="Z643"/>
  <c r="Q645"/>
  <c r="E646"/>
  <c r="D646" s="1"/>
  <c r="G646" l="1"/>
  <c r="H646"/>
  <c r="R645"/>
  <c r="S645"/>
  <c r="Y641"/>
  <c r="AD641" s="1"/>
  <c r="Z642"/>
  <c r="Y640" l="1"/>
  <c r="AD640" s="1"/>
  <c r="Z641"/>
  <c r="Q644"/>
  <c r="E645"/>
  <c r="D645" s="1"/>
  <c r="Z640" l="1"/>
  <c r="R644"/>
  <c r="S644"/>
  <c r="G645"/>
  <c r="H645"/>
  <c r="Q643" l="1"/>
  <c r="E644"/>
  <c r="D644" s="1"/>
  <c r="R643" l="1"/>
  <c r="S643"/>
  <c r="G644"/>
  <c r="H644"/>
  <c r="Q642" l="1"/>
  <c r="E643"/>
  <c r="D643" s="1"/>
  <c r="G643" l="1"/>
  <c r="H643"/>
  <c r="R642"/>
  <c r="S642"/>
  <c r="Q641" l="1"/>
  <c r="E642"/>
  <c r="D642" s="1"/>
  <c r="G642" l="1"/>
  <c r="H642"/>
  <c r="R641"/>
  <c r="S641"/>
  <c r="Q640" l="1"/>
  <c r="E641"/>
  <c r="D641" s="1"/>
  <c r="G641" l="1"/>
  <c r="H641"/>
  <c r="R640"/>
  <c r="E640" s="1"/>
  <c r="D640" s="1"/>
  <c r="S640"/>
  <c r="G640" l="1"/>
  <c r="H640"/>
  <c r="T640" s="1"/>
  <c r="U640" l="1"/>
  <c r="T641" s="1"/>
  <c r="V640"/>
  <c r="W640" s="1"/>
  <c r="AB640" s="1"/>
  <c r="C660" l="1"/>
  <c r="U641"/>
  <c r="T642" s="1"/>
  <c r="V641"/>
  <c r="W641" s="1"/>
  <c r="AB641" s="1"/>
  <c r="K660" l="1"/>
  <c r="M660" s="1"/>
  <c r="N660" s="1"/>
  <c r="X660"/>
  <c r="I660"/>
  <c r="C661"/>
  <c r="U642"/>
  <c r="T643" s="1"/>
  <c r="V642"/>
  <c r="W642" s="1"/>
  <c r="AB642" s="1"/>
  <c r="O660" l="1"/>
  <c r="X661"/>
  <c r="I661"/>
  <c r="K661"/>
  <c r="M661" s="1"/>
  <c r="N661" s="1"/>
  <c r="C662"/>
  <c r="P660"/>
  <c r="U643"/>
  <c r="T644" s="1"/>
  <c r="V643"/>
  <c r="W643" s="1"/>
  <c r="AB643" s="1"/>
  <c r="O661" l="1"/>
  <c r="K662"/>
  <c r="M662" s="1"/>
  <c r="N662" s="1"/>
  <c r="X662"/>
  <c r="I662"/>
  <c r="C663"/>
  <c r="U644"/>
  <c r="T645" s="1"/>
  <c r="V644"/>
  <c r="W644" s="1"/>
  <c r="AB644" s="1"/>
  <c r="P661"/>
  <c r="O662" l="1"/>
  <c r="X663"/>
  <c r="I663"/>
  <c r="K663"/>
  <c r="M663" s="1"/>
  <c r="N663" s="1"/>
  <c r="C664"/>
  <c r="P662"/>
  <c r="U645"/>
  <c r="T646" s="1"/>
  <c r="V645"/>
  <c r="W645" s="1"/>
  <c r="AB645" s="1"/>
  <c r="O663" l="1"/>
  <c r="K664"/>
  <c r="M664" s="1"/>
  <c r="N664" s="1"/>
  <c r="I664"/>
  <c r="C665"/>
  <c r="X664"/>
  <c r="U646"/>
  <c r="T647" s="1"/>
  <c r="V646"/>
  <c r="W646" s="1"/>
  <c r="AB646" s="1"/>
  <c r="P663"/>
  <c r="O664" l="1"/>
  <c r="K665"/>
  <c r="M665" s="1"/>
  <c r="N665" s="1"/>
  <c r="X665"/>
  <c r="I665"/>
  <c r="C666"/>
  <c r="P664"/>
  <c r="U647"/>
  <c r="T648" s="1"/>
  <c r="V647"/>
  <c r="W647" s="1"/>
  <c r="AB647" s="1"/>
  <c r="O665" l="1"/>
  <c r="X666"/>
  <c r="I666"/>
  <c r="K666"/>
  <c r="M666" s="1"/>
  <c r="N666" s="1"/>
  <c r="C667"/>
  <c r="U648"/>
  <c r="T649" s="1"/>
  <c r="V648"/>
  <c r="W648" s="1"/>
  <c r="AB648" s="1"/>
  <c r="P665"/>
  <c r="O666" l="1"/>
  <c r="X667"/>
  <c r="K667"/>
  <c r="M667" s="1"/>
  <c r="N667" s="1"/>
  <c r="I667"/>
  <c r="C668"/>
  <c r="P666"/>
  <c r="U649"/>
  <c r="U650" s="1"/>
  <c r="V649"/>
  <c r="W649" s="1"/>
  <c r="AB649" s="1"/>
  <c r="O667" l="1"/>
  <c r="K668"/>
  <c r="M668" s="1"/>
  <c r="N668" s="1"/>
  <c r="X668"/>
  <c r="I668"/>
  <c r="C669"/>
  <c r="P667"/>
  <c r="O668" l="1"/>
  <c r="X669"/>
  <c r="I669"/>
  <c r="K669"/>
  <c r="M669" s="1"/>
  <c r="N669" s="1"/>
  <c r="P668"/>
  <c r="O669" l="1"/>
  <c r="N670"/>
  <c r="N671" s="1"/>
  <c r="P669"/>
  <c r="P671" s="1"/>
  <c r="Y670" l="1"/>
  <c r="Y669" s="1"/>
  <c r="AD669" s="1"/>
  <c r="AE671"/>
  <c r="AE670" s="1"/>
  <c r="AE669" s="1"/>
  <c r="AE668" s="1"/>
  <c r="AE667" s="1"/>
  <c r="AE666" s="1"/>
  <c r="AE665" s="1"/>
  <c r="AE664" s="1"/>
  <c r="AE663" s="1"/>
  <c r="AE662" s="1"/>
  <c r="AE661" s="1"/>
  <c r="AE660" s="1"/>
  <c r="AC660"/>
  <c r="AC661" s="1"/>
  <c r="AC662" s="1"/>
  <c r="AC663" s="1"/>
  <c r="AC664" s="1"/>
  <c r="AC665" s="1"/>
  <c r="AC666" s="1"/>
  <c r="AC667" s="1"/>
  <c r="AC668" s="1"/>
  <c r="AC669" s="1"/>
  <c r="R669"/>
  <c r="S669"/>
  <c r="Z669" l="1"/>
  <c r="Y668"/>
  <c r="AD668" s="1"/>
  <c r="E669"/>
  <c r="D669" s="1"/>
  <c r="Q668"/>
  <c r="H669" l="1"/>
  <c r="G669"/>
  <c r="R668"/>
  <c r="S668"/>
  <c r="Z668"/>
  <c r="Y667"/>
  <c r="AD667" s="1"/>
  <c r="Z667" l="1"/>
  <c r="Y666"/>
  <c r="AD666" s="1"/>
  <c r="E668"/>
  <c r="D668" s="1"/>
  <c r="Q667"/>
  <c r="R667" l="1"/>
  <c r="S667"/>
  <c r="H668"/>
  <c r="G668"/>
  <c r="Z666"/>
  <c r="Y665"/>
  <c r="AD665" s="1"/>
  <c r="E667" l="1"/>
  <c r="D667" s="1"/>
  <c r="Q666"/>
  <c r="Z665"/>
  <c r="Y664"/>
  <c r="AD664" s="1"/>
  <c r="Z664" l="1"/>
  <c r="Y663"/>
  <c r="AD663" s="1"/>
  <c r="H667"/>
  <c r="G667"/>
  <c r="R666"/>
  <c r="S666"/>
  <c r="E666" l="1"/>
  <c r="D666" s="1"/>
  <c r="Q665"/>
  <c r="Z663"/>
  <c r="Y662"/>
  <c r="AD662" s="1"/>
  <c r="H666" l="1"/>
  <c r="G666"/>
  <c r="Y661"/>
  <c r="AD661" s="1"/>
  <c r="Z662"/>
  <c r="R665"/>
  <c r="S665"/>
  <c r="E665" l="1"/>
  <c r="D665" s="1"/>
  <c r="Q664"/>
  <c r="Z661"/>
  <c r="Y660"/>
  <c r="AD660" s="1"/>
  <c r="Z660" l="1"/>
  <c r="H665"/>
  <c r="G665"/>
  <c r="R664"/>
  <c r="S664"/>
  <c r="E664" l="1"/>
  <c r="D664" s="1"/>
  <c r="Q663"/>
  <c r="H664" l="1"/>
  <c r="G664"/>
  <c r="R663"/>
  <c r="S663"/>
  <c r="E663" l="1"/>
  <c r="D663" s="1"/>
  <c r="Q662"/>
  <c r="R662" l="1"/>
  <c r="S662"/>
  <c r="H663"/>
  <c r="G663"/>
  <c r="E662" l="1"/>
  <c r="D662" s="1"/>
  <c r="Q661"/>
  <c r="R661" l="1"/>
  <c r="S661"/>
  <c r="H662"/>
  <c r="G662"/>
  <c r="E661" l="1"/>
  <c r="D661" s="1"/>
  <c r="Q660"/>
  <c r="R660" l="1"/>
  <c r="E660" s="1"/>
  <c r="D660" s="1"/>
  <c r="S660"/>
  <c r="H661"/>
  <c r="G661"/>
  <c r="H660" l="1"/>
  <c r="T660" s="1"/>
  <c r="G660"/>
  <c r="U660" l="1"/>
  <c r="T661" s="1"/>
  <c r="V660"/>
  <c r="W660" s="1"/>
  <c r="AB660" s="1"/>
  <c r="C680" l="1"/>
  <c r="U661"/>
  <c r="T662" s="1"/>
  <c r="V661"/>
  <c r="W661" s="1"/>
  <c r="AB661" s="1"/>
  <c r="X680" l="1"/>
  <c r="K680"/>
  <c r="M680" s="1"/>
  <c r="N680" s="1"/>
  <c r="I680"/>
  <c r="C681"/>
  <c r="U662"/>
  <c r="T663" s="1"/>
  <c r="V662"/>
  <c r="W662" s="1"/>
  <c r="AB662" s="1"/>
  <c r="O680" l="1"/>
  <c r="I681"/>
  <c r="X681"/>
  <c r="K681"/>
  <c r="M681" s="1"/>
  <c r="N681" s="1"/>
  <c r="C682"/>
  <c r="P680"/>
  <c r="U663"/>
  <c r="T664" s="1"/>
  <c r="V663"/>
  <c r="W663" s="1"/>
  <c r="AB663" s="1"/>
  <c r="O681" l="1"/>
  <c r="K682"/>
  <c r="M682" s="1"/>
  <c r="N682" s="1"/>
  <c r="I682"/>
  <c r="X682"/>
  <c r="C683"/>
  <c r="P681"/>
  <c r="U664"/>
  <c r="T665" s="1"/>
  <c r="V664"/>
  <c r="W664" s="1"/>
  <c r="AB664" s="1"/>
  <c r="O682" l="1"/>
  <c r="I683"/>
  <c r="X683"/>
  <c r="K683"/>
  <c r="M683" s="1"/>
  <c r="N683" s="1"/>
  <c r="C684"/>
  <c r="U665"/>
  <c r="T666" s="1"/>
  <c r="V665"/>
  <c r="W665" s="1"/>
  <c r="AB665" s="1"/>
  <c r="P682"/>
  <c r="O683" l="1"/>
  <c r="K684"/>
  <c r="M684" s="1"/>
  <c r="N684" s="1"/>
  <c r="X684"/>
  <c r="I684"/>
  <c r="C685"/>
  <c r="P683"/>
  <c r="U666"/>
  <c r="T667" s="1"/>
  <c r="V666"/>
  <c r="W666" s="1"/>
  <c r="AB666" s="1"/>
  <c r="O684" l="1"/>
  <c r="I685"/>
  <c r="X685"/>
  <c r="K685"/>
  <c r="M685" s="1"/>
  <c r="N685" s="1"/>
  <c r="C686"/>
  <c r="P684"/>
  <c r="U667"/>
  <c r="T668" s="1"/>
  <c r="V667"/>
  <c r="W667" s="1"/>
  <c r="AB667" s="1"/>
  <c r="O685" l="1"/>
  <c r="I686"/>
  <c r="X686"/>
  <c r="K686"/>
  <c r="M686" s="1"/>
  <c r="N686" s="1"/>
  <c r="C687"/>
  <c r="U668"/>
  <c r="T669" s="1"/>
  <c r="V668"/>
  <c r="W668" s="1"/>
  <c r="AB668" s="1"/>
  <c r="P685"/>
  <c r="O686" l="1"/>
  <c r="I687"/>
  <c r="X687"/>
  <c r="K687"/>
  <c r="M687" s="1"/>
  <c r="N687" s="1"/>
  <c r="C688"/>
  <c r="P686"/>
  <c r="U669"/>
  <c r="U670" s="1"/>
  <c r="V669"/>
  <c r="W669" s="1"/>
  <c r="AB669" s="1"/>
  <c r="O687" l="1"/>
  <c r="K688"/>
  <c r="M688" s="1"/>
  <c r="N688" s="1"/>
  <c r="X688"/>
  <c r="I688"/>
  <c r="C689"/>
  <c r="P687"/>
  <c r="O688" l="1"/>
  <c r="I689"/>
  <c r="X689"/>
  <c r="K689"/>
  <c r="M689" s="1"/>
  <c r="N689" s="1"/>
  <c r="P688"/>
  <c r="O689" l="1"/>
  <c r="N690"/>
  <c r="N691" s="1"/>
  <c r="P689"/>
  <c r="P691" s="1"/>
  <c r="AE691" l="1"/>
  <c r="AE690" s="1"/>
  <c r="AE689" s="1"/>
  <c r="AE688" s="1"/>
  <c r="AE687" s="1"/>
  <c r="AE686" s="1"/>
  <c r="AE685" s="1"/>
  <c r="AE684" s="1"/>
  <c r="AE683" s="1"/>
  <c r="AE682" s="1"/>
  <c r="AE681" s="1"/>
  <c r="AE680" s="1"/>
  <c r="Y690"/>
  <c r="Y689" s="1"/>
  <c r="AD689" s="1"/>
  <c r="AC680"/>
  <c r="AC681" s="1"/>
  <c r="AC682" s="1"/>
  <c r="AC683" s="1"/>
  <c r="AC684" s="1"/>
  <c r="AC685" s="1"/>
  <c r="AC686" s="1"/>
  <c r="AC687" s="1"/>
  <c r="AC688" s="1"/>
  <c r="AC689" s="1"/>
  <c r="R689"/>
  <c r="S689"/>
  <c r="Q688" l="1"/>
  <c r="E689"/>
  <c r="D689" s="1"/>
  <c r="Y688"/>
  <c r="AD688" s="1"/>
  <c r="Z689"/>
  <c r="Y687" l="1"/>
  <c r="AD687" s="1"/>
  <c r="Z688"/>
  <c r="R688"/>
  <c r="S688"/>
  <c r="G689"/>
  <c r="H689"/>
  <c r="Q687" l="1"/>
  <c r="E688"/>
  <c r="D688" s="1"/>
  <c r="Y686"/>
  <c r="AD686" s="1"/>
  <c r="Z687"/>
  <c r="Y685" l="1"/>
  <c r="AD685" s="1"/>
  <c r="Z686"/>
  <c r="R687"/>
  <c r="S687"/>
  <c r="G688"/>
  <c r="H688"/>
  <c r="Q686" l="1"/>
  <c r="E687"/>
  <c r="D687" s="1"/>
  <c r="Y684"/>
  <c r="AD684" s="1"/>
  <c r="Z685"/>
  <c r="Y683" l="1"/>
  <c r="AD683" s="1"/>
  <c r="Z684"/>
  <c r="R686"/>
  <c r="S686"/>
  <c r="G687"/>
  <c r="H687"/>
  <c r="Q685" l="1"/>
  <c r="E686"/>
  <c r="D686" s="1"/>
  <c r="Y682"/>
  <c r="AD682" s="1"/>
  <c r="Z683"/>
  <c r="G686" l="1"/>
  <c r="H686"/>
  <c r="Y681"/>
  <c r="AD681" s="1"/>
  <c r="Z682"/>
  <c r="R685"/>
  <c r="S685"/>
  <c r="Q684" l="1"/>
  <c r="E685"/>
  <c r="D685" s="1"/>
  <c r="Y680"/>
  <c r="AD680" s="1"/>
  <c r="Z681"/>
  <c r="Z680" l="1"/>
  <c r="R684"/>
  <c r="S684"/>
  <c r="G685"/>
  <c r="H685"/>
  <c r="Q683" l="1"/>
  <c r="E684"/>
  <c r="D684" s="1"/>
  <c r="R683" l="1"/>
  <c r="S683"/>
  <c r="G684"/>
  <c r="H684"/>
  <c r="Q682" l="1"/>
  <c r="E683"/>
  <c r="D683" s="1"/>
  <c r="R682" l="1"/>
  <c r="S682"/>
  <c r="G683"/>
  <c r="H683"/>
  <c r="Q681" l="1"/>
  <c r="E682"/>
  <c r="D682" s="1"/>
  <c r="R681" l="1"/>
  <c r="S681"/>
  <c r="G682"/>
  <c r="H682"/>
  <c r="Q680" l="1"/>
  <c r="E681"/>
  <c r="D681" s="1"/>
  <c r="R680" l="1"/>
  <c r="E680" s="1"/>
  <c r="D680" s="1"/>
  <c r="S680"/>
  <c r="G681"/>
  <c r="H681"/>
  <c r="G680" l="1"/>
  <c r="H680"/>
  <c r="T680" s="1"/>
  <c r="U680" l="1"/>
  <c r="T681" s="1"/>
  <c r="V680"/>
  <c r="W680" l="1"/>
  <c r="U681"/>
  <c r="T682" s="1"/>
  <c r="V681"/>
  <c r="W681" s="1"/>
  <c r="AB681" s="1"/>
  <c r="AB680" l="1"/>
  <c r="C700" s="1"/>
  <c r="C701"/>
  <c r="U682"/>
  <c r="T683" s="1"/>
  <c r="V682"/>
  <c r="W682" s="1"/>
  <c r="AB682" s="1"/>
  <c r="I700" l="1"/>
  <c r="X700"/>
  <c r="K700"/>
  <c r="M700" s="1"/>
  <c r="N700" s="1"/>
  <c r="X701"/>
  <c r="I701"/>
  <c r="C702"/>
  <c r="U683"/>
  <c r="T684" s="1"/>
  <c r="V683"/>
  <c r="W683" s="1"/>
  <c r="AB683" s="1"/>
  <c r="P700" l="1"/>
  <c r="K701"/>
  <c r="M701" s="1"/>
  <c r="N701" s="1"/>
  <c r="O700"/>
  <c r="O701"/>
  <c r="X702"/>
  <c r="I702"/>
  <c r="C703"/>
  <c r="U684"/>
  <c r="T685" s="1"/>
  <c r="V684"/>
  <c r="W684" s="1"/>
  <c r="AB684" s="1"/>
  <c r="P701"/>
  <c r="K702" l="1"/>
  <c r="M702" s="1"/>
  <c r="N702" s="1"/>
  <c r="X703"/>
  <c r="I703"/>
  <c r="C704"/>
  <c r="U685"/>
  <c r="T686" s="1"/>
  <c r="V685"/>
  <c r="W685" s="1"/>
  <c r="AB685" s="1"/>
  <c r="P702" l="1"/>
  <c r="K703"/>
  <c r="M703" s="1"/>
  <c r="N703" s="1"/>
  <c r="O702"/>
  <c r="O703"/>
  <c r="X704"/>
  <c r="I704"/>
  <c r="C705"/>
  <c r="U686"/>
  <c r="T687" s="1"/>
  <c r="V686"/>
  <c r="W686" s="1"/>
  <c r="AB686" s="1"/>
  <c r="P703" l="1"/>
  <c r="K704"/>
  <c r="M704" s="1"/>
  <c r="N704" s="1"/>
  <c r="X705"/>
  <c r="I705"/>
  <c r="C706"/>
  <c r="U687"/>
  <c r="T688" s="1"/>
  <c r="V687"/>
  <c r="W687" s="1"/>
  <c r="AB687" s="1"/>
  <c r="P704"/>
  <c r="K705" l="1"/>
  <c r="M705" s="1"/>
  <c r="N705" s="1"/>
  <c r="O704"/>
  <c r="I706"/>
  <c r="X706"/>
  <c r="C707"/>
  <c r="U688"/>
  <c r="T689" s="1"/>
  <c r="V688"/>
  <c r="W688" s="1"/>
  <c r="AB688" s="1"/>
  <c r="P705" l="1"/>
  <c r="O705"/>
  <c r="K706"/>
  <c r="M706" s="1"/>
  <c r="N706" s="1"/>
  <c r="I707"/>
  <c r="X707"/>
  <c r="C708"/>
  <c r="U689"/>
  <c r="U690" s="1"/>
  <c r="V689"/>
  <c r="W689" s="1"/>
  <c r="AB689" s="1"/>
  <c r="P706" l="1"/>
  <c r="K707"/>
  <c r="M707" s="1"/>
  <c r="N707" s="1"/>
  <c r="O706"/>
  <c r="O707"/>
  <c r="X708"/>
  <c r="I708"/>
  <c r="C709"/>
  <c r="P707" l="1"/>
  <c r="K708"/>
  <c r="M708" s="1"/>
  <c r="N708" s="1"/>
  <c r="X709"/>
  <c r="I709"/>
  <c r="P708" l="1"/>
  <c r="K709"/>
  <c r="M709" s="1"/>
  <c r="N709" s="1"/>
  <c r="N710" s="1"/>
  <c r="N711" s="1"/>
  <c r="O708"/>
  <c r="O709" l="1"/>
  <c r="S709" s="1"/>
  <c r="P709"/>
  <c r="P711" s="1"/>
  <c r="R709"/>
  <c r="Y710"/>
  <c r="Y709" s="1"/>
  <c r="AD709" s="1"/>
  <c r="AE711"/>
  <c r="AE710" s="1"/>
  <c r="AE709" s="1"/>
  <c r="AE708" s="1"/>
  <c r="AE707" s="1"/>
  <c r="AE706" s="1"/>
  <c r="AE705" s="1"/>
  <c r="AE704" s="1"/>
  <c r="AE703" s="1"/>
  <c r="AE702" s="1"/>
  <c r="AE701" s="1"/>
  <c r="AE700" s="1"/>
  <c r="AC700"/>
  <c r="AC701" s="1"/>
  <c r="AC702" s="1"/>
  <c r="AC703" s="1"/>
  <c r="AC704" s="1"/>
  <c r="AC705" s="1"/>
  <c r="AC706" s="1"/>
  <c r="AC707" s="1"/>
  <c r="AC708" s="1"/>
  <c r="AC709" s="1"/>
  <c r="E709" l="1"/>
  <c r="D709" s="1"/>
  <c r="Q708"/>
  <c r="Z709"/>
  <c r="Y708"/>
  <c r="AD708" s="1"/>
  <c r="H709" l="1"/>
  <c r="G709"/>
  <c r="Z708"/>
  <c r="Y707"/>
  <c r="AD707" s="1"/>
  <c r="R708"/>
  <c r="S708"/>
  <c r="E708" l="1"/>
  <c r="D708" s="1"/>
  <c r="Q707"/>
  <c r="Z707"/>
  <c r="Y706"/>
  <c r="AD706" s="1"/>
  <c r="H708" l="1"/>
  <c r="G708"/>
  <c r="Z706"/>
  <c r="Y705"/>
  <c r="AD705" s="1"/>
  <c r="R707"/>
  <c r="S707"/>
  <c r="E707" l="1"/>
  <c r="D707" s="1"/>
  <c r="Q706"/>
  <c r="Z705"/>
  <c r="Y704"/>
  <c r="AD704" s="1"/>
  <c r="H707" l="1"/>
  <c r="G707"/>
  <c r="Z704"/>
  <c r="Y703"/>
  <c r="AD703" s="1"/>
  <c r="R706"/>
  <c r="S706"/>
  <c r="E706" l="1"/>
  <c r="D706" s="1"/>
  <c r="Q705"/>
  <c r="Z703"/>
  <c r="Y702"/>
  <c r="AD702" s="1"/>
  <c r="H706" l="1"/>
  <c r="G706"/>
  <c r="Z702"/>
  <c r="Y701"/>
  <c r="AD701" s="1"/>
  <c r="R705"/>
  <c r="S705"/>
  <c r="E705" l="1"/>
  <c r="D705" s="1"/>
  <c r="Q704"/>
  <c r="Z701"/>
  <c r="Y700"/>
  <c r="AD700" s="1"/>
  <c r="Z700" l="1"/>
  <c r="H705"/>
  <c r="G705"/>
  <c r="R704"/>
  <c r="S704"/>
  <c r="E704" l="1"/>
  <c r="D704" s="1"/>
  <c r="Q703"/>
  <c r="H704" l="1"/>
  <c r="G704"/>
  <c r="R703"/>
  <c r="S703"/>
  <c r="E703" l="1"/>
  <c r="D703" s="1"/>
  <c r="Q702"/>
  <c r="H703" l="1"/>
  <c r="G703"/>
  <c r="R702"/>
  <c r="S702"/>
  <c r="E702" l="1"/>
  <c r="D702" s="1"/>
  <c r="Q701"/>
  <c r="H702" l="1"/>
  <c r="G702"/>
  <c r="R701"/>
  <c r="S701"/>
  <c r="E701" l="1"/>
  <c r="D701" s="1"/>
  <c r="Q700"/>
  <c r="H701" l="1"/>
  <c r="G701"/>
  <c r="R700"/>
  <c r="E700" s="1"/>
  <c r="D700" s="1"/>
  <c r="S700"/>
  <c r="H700" l="1"/>
  <c r="T700" s="1"/>
  <c r="G700"/>
  <c r="U700" l="1"/>
  <c r="T701" s="1"/>
  <c r="V700"/>
  <c r="W700" s="1"/>
  <c r="AB700" s="1"/>
  <c r="C720" l="1"/>
  <c r="U701"/>
  <c r="T702" s="1"/>
  <c r="V701"/>
  <c r="W701" s="1"/>
  <c r="AB701" s="1"/>
  <c r="X720" l="1"/>
  <c r="I720"/>
  <c r="K720"/>
  <c r="M720" s="1"/>
  <c r="N720" s="1"/>
  <c r="C721"/>
  <c r="U702"/>
  <c r="T703" s="1"/>
  <c r="V702"/>
  <c r="W702" s="1"/>
  <c r="AB702" s="1"/>
  <c r="O720" l="1"/>
  <c r="I721"/>
  <c r="X721"/>
  <c r="K721"/>
  <c r="M721" s="1"/>
  <c r="N721" s="1"/>
  <c r="C722"/>
  <c r="U703"/>
  <c r="T704" s="1"/>
  <c r="V703"/>
  <c r="W703" s="1"/>
  <c r="AB703" s="1"/>
  <c r="P720"/>
  <c r="O721" l="1"/>
  <c r="K722"/>
  <c r="M722" s="1"/>
  <c r="N722" s="1"/>
  <c r="I722"/>
  <c r="X722"/>
  <c r="C723"/>
  <c r="P721"/>
  <c r="U704"/>
  <c r="T705" s="1"/>
  <c r="V704"/>
  <c r="W704" s="1"/>
  <c r="AB704" s="1"/>
  <c r="O722" l="1"/>
  <c r="K723"/>
  <c r="M723" s="1"/>
  <c r="N723" s="1"/>
  <c r="I723"/>
  <c r="X723"/>
  <c r="C724"/>
  <c r="P722"/>
  <c r="U705"/>
  <c r="T706" s="1"/>
  <c r="V705"/>
  <c r="W705" s="1"/>
  <c r="AB705" s="1"/>
  <c r="O723" l="1"/>
  <c r="I724"/>
  <c r="X724"/>
  <c r="K724"/>
  <c r="M724" s="1"/>
  <c r="N724" s="1"/>
  <c r="C725"/>
  <c r="U706"/>
  <c r="T707" s="1"/>
  <c r="V706"/>
  <c r="W706" s="1"/>
  <c r="AB706" s="1"/>
  <c r="P723"/>
  <c r="O724" l="1"/>
  <c r="I725"/>
  <c r="X725"/>
  <c r="K725"/>
  <c r="M725" s="1"/>
  <c r="N725" s="1"/>
  <c r="C726"/>
  <c r="P724"/>
  <c r="U707"/>
  <c r="T708" s="1"/>
  <c r="V707"/>
  <c r="W707" s="1"/>
  <c r="AB707" s="1"/>
  <c r="O725" l="1"/>
  <c r="K726"/>
  <c r="M726" s="1"/>
  <c r="N726" s="1"/>
  <c r="I726"/>
  <c r="X726"/>
  <c r="C727"/>
  <c r="U708"/>
  <c r="T709" s="1"/>
  <c r="V708"/>
  <c r="W708" s="1"/>
  <c r="AB708" s="1"/>
  <c r="P725"/>
  <c r="O726" l="1"/>
  <c r="I727"/>
  <c r="X727"/>
  <c r="K727"/>
  <c r="M727" s="1"/>
  <c r="N727" s="1"/>
  <c r="C728"/>
  <c r="P726"/>
  <c r="U709"/>
  <c r="U710" s="1"/>
  <c r="V709"/>
  <c r="W709" s="1"/>
  <c r="AB709" s="1"/>
  <c r="O727" l="1"/>
  <c r="K728"/>
  <c r="M728" s="1"/>
  <c r="N728" s="1"/>
  <c r="I728"/>
  <c r="X728"/>
  <c r="C729"/>
  <c r="P727"/>
  <c r="O728" l="1"/>
  <c r="I729"/>
  <c r="X729"/>
  <c r="K729"/>
  <c r="M729" s="1"/>
  <c r="N729" s="1"/>
  <c r="P728"/>
  <c r="O729" l="1"/>
  <c r="N730"/>
  <c r="N731" s="1"/>
  <c r="P729"/>
  <c r="P731" s="1"/>
  <c r="AE731" l="1"/>
  <c r="AE730" s="1"/>
  <c r="AE729" s="1"/>
  <c r="AE728" s="1"/>
  <c r="AE727" s="1"/>
  <c r="AE726" s="1"/>
  <c r="AE725" s="1"/>
  <c r="AE724" s="1"/>
  <c r="AE723" s="1"/>
  <c r="AE722" s="1"/>
  <c r="AE721" s="1"/>
  <c r="AE720" s="1"/>
  <c r="Y730"/>
  <c r="Y729" s="1"/>
  <c r="AD729" s="1"/>
  <c r="AC720"/>
  <c r="AC721" s="1"/>
  <c r="AC722" s="1"/>
  <c r="AC723" s="1"/>
  <c r="AC724" s="1"/>
  <c r="AC725" s="1"/>
  <c r="AC726" s="1"/>
  <c r="AC727" s="1"/>
  <c r="AC728" s="1"/>
  <c r="AC729" s="1"/>
  <c r="R729"/>
  <c r="S729"/>
  <c r="Q728" l="1"/>
  <c r="E729"/>
  <c r="D729" s="1"/>
  <c r="Y728"/>
  <c r="AD728" s="1"/>
  <c r="Z729"/>
  <c r="Y727" l="1"/>
  <c r="AD727" s="1"/>
  <c r="Z728"/>
  <c r="R728"/>
  <c r="S728"/>
  <c r="G729"/>
  <c r="H729"/>
  <c r="Q727" l="1"/>
  <c r="E728"/>
  <c r="D728" s="1"/>
  <c r="Y726"/>
  <c r="AD726" s="1"/>
  <c r="Z727"/>
  <c r="Y725" l="1"/>
  <c r="AD725" s="1"/>
  <c r="Z726"/>
  <c r="R727"/>
  <c r="S727"/>
  <c r="G728"/>
  <c r="H728"/>
  <c r="Q726" l="1"/>
  <c r="E727"/>
  <c r="D727" s="1"/>
  <c r="Y724"/>
  <c r="AD724" s="1"/>
  <c r="Z725"/>
  <c r="Y723" l="1"/>
  <c r="AD723" s="1"/>
  <c r="Z724"/>
  <c r="R726"/>
  <c r="S726"/>
  <c r="G727"/>
  <c r="H727"/>
  <c r="Q725" l="1"/>
  <c r="E726"/>
  <c r="D726" s="1"/>
  <c r="Y722"/>
  <c r="AD722" s="1"/>
  <c r="Z723"/>
  <c r="Y721" l="1"/>
  <c r="AD721" s="1"/>
  <c r="Z722"/>
  <c r="R725"/>
  <c r="S725"/>
  <c r="G726"/>
  <c r="H726"/>
  <c r="Q724" l="1"/>
  <c r="E725"/>
  <c r="D725" s="1"/>
  <c r="Y720"/>
  <c r="AD720" s="1"/>
  <c r="Z721"/>
  <c r="Z720" l="1"/>
  <c r="R724"/>
  <c r="S724"/>
  <c r="G725"/>
  <c r="H725"/>
  <c r="Q723" l="1"/>
  <c r="E724"/>
  <c r="D724" s="1"/>
  <c r="R723" l="1"/>
  <c r="S723"/>
  <c r="G724"/>
  <c r="H724"/>
  <c r="Q722" l="1"/>
  <c r="E723"/>
  <c r="D723" s="1"/>
  <c r="G723" l="1"/>
  <c r="H723"/>
  <c r="R722"/>
  <c r="S722"/>
  <c r="Q721" l="1"/>
  <c r="E722"/>
  <c r="D722" s="1"/>
  <c r="G722" l="1"/>
  <c r="H722"/>
  <c r="R721"/>
  <c r="S721"/>
  <c r="Q720" l="1"/>
  <c r="E721"/>
  <c r="D721" s="1"/>
  <c r="G721" l="1"/>
  <c r="H721"/>
  <c r="R720"/>
  <c r="E720" s="1"/>
  <c r="D720" s="1"/>
  <c r="S720"/>
  <c r="G720" l="1"/>
  <c r="H720"/>
  <c r="T720" s="1"/>
  <c r="U720" l="1"/>
  <c r="T721" s="1"/>
  <c r="V720"/>
  <c r="W720" s="1"/>
  <c r="AB720" s="1"/>
  <c r="C740" l="1"/>
  <c r="U721"/>
  <c r="T722" s="1"/>
  <c r="V721"/>
  <c r="W721" s="1"/>
  <c r="AB721" s="1"/>
  <c r="K740" l="1"/>
  <c r="M740" s="1"/>
  <c r="N740" s="1"/>
  <c r="I740"/>
  <c r="X740"/>
  <c r="C741"/>
  <c r="U722"/>
  <c r="T723" s="1"/>
  <c r="V722"/>
  <c r="W722" s="1"/>
  <c r="AB722" s="1"/>
  <c r="O740" l="1"/>
  <c r="I741"/>
  <c r="X741"/>
  <c r="K741"/>
  <c r="M741" s="1"/>
  <c r="N741" s="1"/>
  <c r="C742"/>
  <c r="P740"/>
  <c r="U723"/>
  <c r="T724" s="1"/>
  <c r="V723"/>
  <c r="W723" s="1"/>
  <c r="AB723" s="1"/>
  <c r="O741" l="1"/>
  <c r="K742"/>
  <c r="M742" s="1"/>
  <c r="N742" s="1"/>
  <c r="X742"/>
  <c r="I742"/>
  <c r="C743"/>
  <c r="U724"/>
  <c r="T725" s="1"/>
  <c r="V724"/>
  <c r="W724" s="1"/>
  <c r="AB724" s="1"/>
  <c r="P741"/>
  <c r="O742" l="1"/>
  <c r="X743"/>
  <c r="I743"/>
  <c r="K743"/>
  <c r="M743" s="1"/>
  <c r="N743" s="1"/>
  <c r="C744"/>
  <c r="P742"/>
  <c r="U725"/>
  <c r="T726" s="1"/>
  <c r="V725"/>
  <c r="W725" s="1"/>
  <c r="AB725" s="1"/>
  <c r="O743" l="1"/>
  <c r="K744"/>
  <c r="M744" s="1"/>
  <c r="N744" s="1"/>
  <c r="I744"/>
  <c r="C745"/>
  <c r="X744"/>
  <c r="U726"/>
  <c r="T727" s="1"/>
  <c r="V726"/>
  <c r="W726" s="1"/>
  <c r="AB726" s="1"/>
  <c r="P743"/>
  <c r="O744" l="1"/>
  <c r="X745"/>
  <c r="I745"/>
  <c r="K745"/>
  <c r="M745" s="1"/>
  <c r="N745" s="1"/>
  <c r="C746"/>
  <c r="P744"/>
  <c r="U727"/>
  <c r="T728" s="1"/>
  <c r="V727"/>
  <c r="W727" s="1"/>
  <c r="AB727" s="1"/>
  <c r="O745" l="1"/>
  <c r="K746"/>
  <c r="M746" s="1"/>
  <c r="N746" s="1"/>
  <c r="X746"/>
  <c r="I746"/>
  <c r="C747"/>
  <c r="U728"/>
  <c r="T729" s="1"/>
  <c r="V728"/>
  <c r="W728" s="1"/>
  <c r="AB728" s="1"/>
  <c r="P745"/>
  <c r="O746" l="1"/>
  <c r="X747"/>
  <c r="I747"/>
  <c r="K747"/>
  <c r="M747" s="1"/>
  <c r="N747" s="1"/>
  <c r="C748"/>
  <c r="P746"/>
  <c r="U729"/>
  <c r="U730" s="1"/>
  <c r="V729"/>
  <c r="W729" s="1"/>
  <c r="AB729" s="1"/>
  <c r="O747" l="1"/>
  <c r="K748"/>
  <c r="M748" s="1"/>
  <c r="N748" s="1"/>
  <c r="X748"/>
  <c r="I748"/>
  <c r="C749"/>
  <c r="P747"/>
  <c r="O748" l="1"/>
  <c r="X749"/>
  <c r="I749"/>
  <c r="K749"/>
  <c r="M749" s="1"/>
  <c r="N749" s="1"/>
  <c r="P748"/>
  <c r="O749" l="1"/>
  <c r="N750"/>
  <c r="N751" s="1"/>
  <c r="P749"/>
  <c r="P751" s="1"/>
  <c r="Y750" l="1"/>
  <c r="Y749" s="1"/>
  <c r="AD749" s="1"/>
  <c r="AE751"/>
  <c r="AE750" s="1"/>
  <c r="AE749" s="1"/>
  <c r="AE748" s="1"/>
  <c r="AE747" s="1"/>
  <c r="AE746" s="1"/>
  <c r="AE745" s="1"/>
  <c r="AE744" s="1"/>
  <c r="AE743" s="1"/>
  <c r="AE742" s="1"/>
  <c r="AE741" s="1"/>
  <c r="AE740" s="1"/>
  <c r="AC740"/>
  <c r="AC741" s="1"/>
  <c r="AC742" s="1"/>
  <c r="AC743" s="1"/>
  <c r="AC744" s="1"/>
  <c r="AC745" s="1"/>
  <c r="AC746" s="1"/>
  <c r="AC747" s="1"/>
  <c r="AC748" s="1"/>
  <c r="AC749" s="1"/>
  <c r="R749"/>
  <c r="S749"/>
  <c r="Z749" l="1"/>
  <c r="Y748"/>
  <c r="AD748" s="1"/>
  <c r="E749"/>
  <c r="D749" s="1"/>
  <c r="Q748"/>
  <c r="R748" l="1"/>
  <c r="S748"/>
  <c r="H749"/>
  <c r="G749"/>
  <c r="Z748"/>
  <c r="Y747"/>
  <c r="AD747" s="1"/>
  <c r="E748" l="1"/>
  <c r="D748" s="1"/>
  <c r="Q747"/>
  <c r="Z747"/>
  <c r="Y746"/>
  <c r="AD746" s="1"/>
  <c r="Z746" l="1"/>
  <c r="Y745"/>
  <c r="AD745" s="1"/>
  <c r="H748"/>
  <c r="G748"/>
  <c r="R747"/>
  <c r="S747"/>
  <c r="E747" l="1"/>
  <c r="D747" s="1"/>
  <c r="Q746"/>
  <c r="Z745"/>
  <c r="Y744"/>
  <c r="AD744" s="1"/>
  <c r="Z744" l="1"/>
  <c r="Y743"/>
  <c r="AD743" s="1"/>
  <c r="H747"/>
  <c r="G747"/>
  <c r="R746"/>
  <c r="S746"/>
  <c r="E746" l="1"/>
  <c r="D746" s="1"/>
  <c r="Q745"/>
  <c r="Z743"/>
  <c r="Y742"/>
  <c r="AD742" s="1"/>
  <c r="Z742" l="1"/>
  <c r="Y741"/>
  <c r="AD741" s="1"/>
  <c r="H746"/>
  <c r="G746"/>
  <c r="R745"/>
  <c r="S745"/>
  <c r="E745" l="1"/>
  <c r="D745" s="1"/>
  <c r="Q744"/>
  <c r="Z741"/>
  <c r="Y740"/>
  <c r="AD740" s="1"/>
  <c r="Z740" l="1"/>
  <c r="H745"/>
  <c r="G745"/>
  <c r="R744"/>
  <c r="S744"/>
  <c r="E744" l="1"/>
  <c r="D744" s="1"/>
  <c r="Q743"/>
  <c r="H744" l="1"/>
  <c r="G744"/>
  <c r="R743"/>
  <c r="S743"/>
  <c r="E743" l="1"/>
  <c r="D743" s="1"/>
  <c r="Q742"/>
  <c r="R742" l="1"/>
  <c r="S742"/>
  <c r="H743"/>
  <c r="G743"/>
  <c r="E742" l="1"/>
  <c r="D742" s="1"/>
  <c r="Q741"/>
  <c r="R741" l="1"/>
  <c r="S741"/>
  <c r="H742"/>
  <c r="G742"/>
  <c r="E741" l="1"/>
  <c r="D741" s="1"/>
  <c r="Q740"/>
  <c r="R740" l="1"/>
  <c r="E740" s="1"/>
  <c r="D740" s="1"/>
  <c r="S740"/>
  <c r="H741"/>
  <c r="G741"/>
  <c r="H740" l="1"/>
  <c r="T740" s="1"/>
  <c r="G740"/>
  <c r="U740" l="1"/>
  <c r="T741" s="1"/>
  <c r="V740"/>
  <c r="W740" s="1"/>
  <c r="AB740" s="1"/>
  <c r="C760" l="1"/>
  <c r="U741"/>
  <c r="T742" s="1"/>
  <c r="V741"/>
  <c r="W741" s="1"/>
  <c r="AB741" s="1"/>
  <c r="X760" l="1"/>
  <c r="I760"/>
  <c r="K760"/>
  <c r="M760" s="1"/>
  <c r="N760" s="1"/>
  <c r="C761"/>
  <c r="U742"/>
  <c r="T743" s="1"/>
  <c r="V742"/>
  <c r="W742" s="1"/>
  <c r="AB742" s="1"/>
  <c r="O760" l="1"/>
  <c r="X761"/>
  <c r="I761"/>
  <c r="K761"/>
  <c r="M761" s="1"/>
  <c r="N761" s="1"/>
  <c r="C762"/>
  <c r="P760"/>
  <c r="U743"/>
  <c r="T744" s="1"/>
  <c r="V743"/>
  <c r="W743" s="1"/>
  <c r="AB743" s="1"/>
  <c r="O761" l="1"/>
  <c r="K762"/>
  <c r="M762" s="1"/>
  <c r="N762" s="1"/>
  <c r="I762"/>
  <c r="X762"/>
  <c r="C763"/>
  <c r="P761"/>
  <c r="U744"/>
  <c r="T745" s="1"/>
  <c r="V744"/>
  <c r="W744" s="1"/>
  <c r="AB744" s="1"/>
  <c r="O762" l="1"/>
  <c r="I763"/>
  <c r="X763"/>
  <c r="K763"/>
  <c r="M763" s="1"/>
  <c r="N763" s="1"/>
  <c r="C764"/>
  <c r="U745"/>
  <c r="T746" s="1"/>
  <c r="V745"/>
  <c r="W745" s="1"/>
  <c r="AB745" s="1"/>
  <c r="P762"/>
  <c r="O763" l="1"/>
  <c r="K764"/>
  <c r="M764" s="1"/>
  <c r="N764" s="1"/>
  <c r="I764"/>
  <c r="X764"/>
  <c r="C765"/>
  <c r="P763"/>
  <c r="U746"/>
  <c r="T747" s="1"/>
  <c r="V746"/>
  <c r="W746" s="1"/>
  <c r="AB746" s="1"/>
  <c r="O764" l="1"/>
  <c r="K765"/>
  <c r="M765" s="1"/>
  <c r="N765" s="1"/>
  <c r="X765"/>
  <c r="I765"/>
  <c r="C766"/>
  <c r="P764"/>
  <c r="U747"/>
  <c r="T748" s="1"/>
  <c r="V747"/>
  <c r="W747" s="1"/>
  <c r="AB747" s="1"/>
  <c r="O765" l="1"/>
  <c r="I766"/>
  <c r="X766"/>
  <c r="K766"/>
  <c r="M766" s="1"/>
  <c r="N766" s="1"/>
  <c r="C767"/>
  <c r="P765"/>
  <c r="U748"/>
  <c r="T749" s="1"/>
  <c r="V748"/>
  <c r="W748" s="1"/>
  <c r="AB748" s="1"/>
  <c r="O766" l="1"/>
  <c r="I767"/>
  <c r="X767"/>
  <c r="K767"/>
  <c r="M767" s="1"/>
  <c r="N767" s="1"/>
  <c r="C768"/>
  <c r="P766"/>
  <c r="U749"/>
  <c r="U750" s="1"/>
  <c r="V749"/>
  <c r="W749" s="1"/>
  <c r="AB749" s="1"/>
  <c r="O767" l="1"/>
  <c r="I768"/>
  <c r="X768"/>
  <c r="K768"/>
  <c r="M768" s="1"/>
  <c r="N768" s="1"/>
  <c r="C769"/>
  <c r="P767"/>
  <c r="O768" l="1"/>
  <c r="I769"/>
  <c r="X769"/>
  <c r="K769"/>
  <c r="M769" s="1"/>
  <c r="N769" s="1"/>
  <c r="P768"/>
  <c r="O769" l="1"/>
  <c r="N770"/>
  <c r="N771" s="1"/>
  <c r="P769"/>
  <c r="P771" s="1"/>
  <c r="AE771" l="1"/>
  <c r="AE770" s="1"/>
  <c r="AE769" s="1"/>
  <c r="AE768" s="1"/>
  <c r="AE767" s="1"/>
  <c r="AE766" s="1"/>
  <c r="AE765" s="1"/>
  <c r="AE764" s="1"/>
  <c r="AE763" s="1"/>
  <c r="AE762" s="1"/>
  <c r="AE761" s="1"/>
  <c r="AE760" s="1"/>
  <c r="Y770"/>
  <c r="Y769" s="1"/>
  <c r="AD769" s="1"/>
  <c r="AC760"/>
  <c r="AC761" s="1"/>
  <c r="AC762" s="1"/>
  <c r="AC763" s="1"/>
  <c r="AC764" s="1"/>
  <c r="AC765" s="1"/>
  <c r="AC766" s="1"/>
  <c r="AC767" s="1"/>
  <c r="AC768" s="1"/>
  <c r="AC769" s="1"/>
  <c r="R769"/>
  <c r="S769"/>
  <c r="Q768" l="1"/>
  <c r="E769"/>
  <c r="D769" s="1"/>
  <c r="Y768"/>
  <c r="AD768" s="1"/>
  <c r="Z769"/>
  <c r="Y767" l="1"/>
  <c r="AD767" s="1"/>
  <c r="Z768"/>
  <c r="R768"/>
  <c r="S768"/>
  <c r="G769"/>
  <c r="H769"/>
  <c r="Q767" l="1"/>
  <c r="E768"/>
  <c r="D768" s="1"/>
  <c r="Y766"/>
  <c r="AD766" s="1"/>
  <c r="Z767"/>
  <c r="Y765" l="1"/>
  <c r="AD765" s="1"/>
  <c r="Z766"/>
  <c r="R767"/>
  <c r="S767"/>
  <c r="G768"/>
  <c r="H768"/>
  <c r="Q766" l="1"/>
  <c r="E767"/>
  <c r="D767" s="1"/>
  <c r="Y764"/>
  <c r="AD764" s="1"/>
  <c r="Z765"/>
  <c r="Y763" l="1"/>
  <c r="AD763" s="1"/>
  <c r="Z764"/>
  <c r="R766"/>
  <c r="S766"/>
  <c r="G767"/>
  <c r="H767"/>
  <c r="Q765" l="1"/>
  <c r="E766"/>
  <c r="D766" s="1"/>
  <c r="Y762"/>
  <c r="AD762" s="1"/>
  <c r="Z763"/>
  <c r="G766" l="1"/>
  <c r="H766"/>
  <c r="Y761"/>
  <c r="AD761" s="1"/>
  <c r="Z762"/>
  <c r="R765"/>
  <c r="S765"/>
  <c r="Q764" l="1"/>
  <c r="E765"/>
  <c r="D765" s="1"/>
  <c r="Y760"/>
  <c r="AD760" s="1"/>
  <c r="Z761"/>
  <c r="Z760" l="1"/>
  <c r="R764"/>
  <c r="S764"/>
  <c r="G765"/>
  <c r="H765"/>
  <c r="Q763" l="1"/>
  <c r="E764"/>
  <c r="D764" s="1"/>
  <c r="G764" l="1"/>
  <c r="H764"/>
  <c r="R763"/>
  <c r="S763"/>
  <c r="Q762" l="1"/>
  <c r="E763"/>
  <c r="D763" s="1"/>
  <c r="G763" l="1"/>
  <c r="H763"/>
  <c r="R762"/>
  <c r="S762"/>
  <c r="Q761" l="1"/>
  <c r="E762"/>
  <c r="D762" s="1"/>
  <c r="G762" l="1"/>
  <c r="H762"/>
  <c r="R761"/>
  <c r="S761"/>
  <c r="Q760" l="1"/>
  <c r="E761"/>
  <c r="D761" s="1"/>
  <c r="G761" l="1"/>
  <c r="H761"/>
  <c r="R760"/>
  <c r="E760" s="1"/>
  <c r="D760" s="1"/>
  <c r="S760"/>
  <c r="G760" l="1"/>
  <c r="H760"/>
  <c r="T760" s="1"/>
  <c r="U760" l="1"/>
  <c r="T761" s="1"/>
  <c r="V760"/>
  <c r="W760" s="1"/>
  <c r="AB760" s="1"/>
  <c r="C780" l="1"/>
  <c r="U761"/>
  <c r="T762" s="1"/>
  <c r="V761"/>
  <c r="W761" s="1"/>
  <c r="AB761" s="1"/>
  <c r="K780" l="1"/>
  <c r="M780" s="1"/>
  <c r="N780" s="1"/>
  <c r="I780"/>
  <c r="X780"/>
  <c r="C781"/>
  <c r="U762"/>
  <c r="T763" s="1"/>
  <c r="V762"/>
  <c r="W762" s="1"/>
  <c r="AB762" s="1"/>
  <c r="O780" l="1"/>
  <c r="X781"/>
  <c r="I781"/>
  <c r="K781"/>
  <c r="M781" s="1"/>
  <c r="N781" s="1"/>
  <c r="C782"/>
  <c r="U763"/>
  <c r="T764" s="1"/>
  <c r="V763"/>
  <c r="W763" s="1"/>
  <c r="AB763" s="1"/>
  <c r="P780"/>
  <c r="O781" l="1"/>
  <c r="K782"/>
  <c r="M782" s="1"/>
  <c r="N782" s="1"/>
  <c r="X782"/>
  <c r="I782"/>
  <c r="C783"/>
  <c r="U764"/>
  <c r="T765" s="1"/>
  <c r="V764"/>
  <c r="W764" s="1"/>
  <c r="AB764" s="1"/>
  <c r="P781"/>
  <c r="O782" l="1"/>
  <c r="K783"/>
  <c r="M783" s="1"/>
  <c r="N783" s="1"/>
  <c r="X783"/>
  <c r="I783"/>
  <c r="C784"/>
  <c r="P782"/>
  <c r="U765"/>
  <c r="T766" s="1"/>
  <c r="V765"/>
  <c r="W765" s="1"/>
  <c r="AB765" s="1"/>
  <c r="O783" l="1"/>
  <c r="K784"/>
  <c r="M784" s="1"/>
  <c r="N784" s="1"/>
  <c r="X784"/>
  <c r="I784"/>
  <c r="C785"/>
  <c r="U766"/>
  <c r="T767" s="1"/>
  <c r="V766"/>
  <c r="W766" s="1"/>
  <c r="AB766" s="1"/>
  <c r="P783"/>
  <c r="O784" l="1"/>
  <c r="X785"/>
  <c r="I785"/>
  <c r="K785"/>
  <c r="M785" s="1"/>
  <c r="N785" s="1"/>
  <c r="C786"/>
  <c r="P784"/>
  <c r="U767"/>
  <c r="T768" s="1"/>
  <c r="V767"/>
  <c r="W767" s="1"/>
  <c r="AB767" s="1"/>
  <c r="O785" l="1"/>
  <c r="K786"/>
  <c r="M786" s="1"/>
  <c r="N786" s="1"/>
  <c r="X786"/>
  <c r="I786"/>
  <c r="C787"/>
  <c r="U768"/>
  <c r="T769" s="1"/>
  <c r="V768"/>
  <c r="W768" s="1"/>
  <c r="AB768" s="1"/>
  <c r="P785"/>
  <c r="O786" l="1"/>
  <c r="X787"/>
  <c r="I787"/>
  <c r="K787"/>
  <c r="M787" s="1"/>
  <c r="N787" s="1"/>
  <c r="C788"/>
  <c r="P786"/>
  <c r="U769"/>
  <c r="U770" s="1"/>
  <c r="V769"/>
  <c r="W769" s="1"/>
  <c r="AB769" s="1"/>
  <c r="O787" l="1"/>
  <c r="K788"/>
  <c r="M788" s="1"/>
  <c r="N788" s="1"/>
  <c r="X788"/>
  <c r="I788"/>
  <c r="C789"/>
  <c r="P787"/>
  <c r="O788" l="1"/>
  <c r="X789"/>
  <c r="I789"/>
  <c r="K789"/>
  <c r="M789" s="1"/>
  <c r="N789" s="1"/>
  <c r="P788"/>
  <c r="O789" l="1"/>
  <c r="N790"/>
  <c r="N791" s="1"/>
  <c r="P789"/>
  <c r="P791" s="1"/>
  <c r="R789" l="1"/>
  <c r="S789"/>
  <c r="Y790"/>
  <c r="Y789" s="1"/>
  <c r="AD789" s="1"/>
  <c r="AE791"/>
  <c r="AE790" s="1"/>
  <c r="AE789" s="1"/>
  <c r="AE788" s="1"/>
  <c r="AE787" s="1"/>
  <c r="AE786" s="1"/>
  <c r="AE785" s="1"/>
  <c r="AE784" s="1"/>
  <c r="AE783" s="1"/>
  <c r="AE782" s="1"/>
  <c r="AE781" s="1"/>
  <c r="AE780" s="1"/>
  <c r="AC780"/>
  <c r="AC781" s="1"/>
  <c r="AC782" s="1"/>
  <c r="AC783" s="1"/>
  <c r="AC784" s="1"/>
  <c r="AC785" s="1"/>
  <c r="AC786" s="1"/>
  <c r="AC787" s="1"/>
  <c r="AC788" s="1"/>
  <c r="AC789" s="1"/>
  <c r="E789" l="1"/>
  <c r="D789" s="1"/>
  <c r="Q788"/>
  <c r="Z789"/>
  <c r="Y788"/>
  <c r="AD788" s="1"/>
  <c r="H789" l="1"/>
  <c r="G789"/>
  <c r="Z788"/>
  <c r="Y787"/>
  <c r="AD787" s="1"/>
  <c r="R788"/>
  <c r="S788"/>
  <c r="E788" l="1"/>
  <c r="D788" s="1"/>
  <c r="Q787"/>
  <c r="Z787"/>
  <c r="Y786"/>
  <c r="AD786" s="1"/>
  <c r="H788" l="1"/>
  <c r="G788"/>
  <c r="Z786"/>
  <c r="Y785"/>
  <c r="AD785" s="1"/>
  <c r="R787"/>
  <c r="S787"/>
  <c r="Z785" l="1"/>
  <c r="Y784"/>
  <c r="AD784" s="1"/>
  <c r="E787"/>
  <c r="D787" s="1"/>
  <c r="Q786"/>
  <c r="R786" l="1"/>
  <c r="S786"/>
  <c r="H787"/>
  <c r="G787"/>
  <c r="Z784"/>
  <c r="Y783"/>
  <c r="AD783" s="1"/>
  <c r="E786" l="1"/>
  <c r="D786" s="1"/>
  <c r="Q785"/>
  <c r="Z783"/>
  <c r="Y782"/>
  <c r="AD782" s="1"/>
  <c r="Z782" l="1"/>
  <c r="Y781"/>
  <c r="AD781" s="1"/>
  <c r="H786"/>
  <c r="G786"/>
  <c r="R785"/>
  <c r="S785"/>
  <c r="E785" l="1"/>
  <c r="D785" s="1"/>
  <c r="Q784"/>
  <c r="Z781"/>
  <c r="Y780"/>
  <c r="AD780" s="1"/>
  <c r="Z780" l="1"/>
  <c r="H785"/>
  <c r="G785"/>
  <c r="R784"/>
  <c r="S784"/>
  <c r="E784" l="1"/>
  <c r="D784" s="1"/>
  <c r="Q783"/>
  <c r="H784" l="1"/>
  <c r="G784"/>
  <c r="R783"/>
  <c r="S783"/>
  <c r="E783" l="1"/>
  <c r="D783" s="1"/>
  <c r="Q782"/>
  <c r="H783" l="1"/>
  <c r="G783"/>
  <c r="R782"/>
  <c r="S782"/>
  <c r="E782" l="1"/>
  <c r="D782" s="1"/>
  <c r="Q781"/>
  <c r="H782" l="1"/>
  <c r="G782"/>
  <c r="R781"/>
  <c r="S781"/>
  <c r="E781" l="1"/>
  <c r="D781" s="1"/>
  <c r="Q780"/>
  <c r="H781" l="1"/>
  <c r="G781"/>
  <c r="R780"/>
  <c r="E780" s="1"/>
  <c r="D780" s="1"/>
  <c r="S780"/>
  <c r="H780" l="1"/>
  <c r="T780" s="1"/>
  <c r="G780"/>
  <c r="U780" l="1"/>
  <c r="T781" s="1"/>
  <c r="V780"/>
  <c r="W780" s="1"/>
  <c r="AB780" s="1"/>
  <c r="C800" l="1"/>
  <c r="U781"/>
  <c r="T782" s="1"/>
  <c r="V781"/>
  <c r="W781" s="1"/>
  <c r="AB781" s="1"/>
  <c r="X800" l="1"/>
  <c r="K800"/>
  <c r="M800" s="1"/>
  <c r="N800" s="1"/>
  <c r="I800"/>
  <c r="C801"/>
  <c r="U782"/>
  <c r="T783" s="1"/>
  <c r="V782"/>
  <c r="W782" s="1"/>
  <c r="AB782" s="1"/>
  <c r="O800" l="1"/>
  <c r="I801"/>
  <c r="X801"/>
  <c r="K801"/>
  <c r="M801" s="1"/>
  <c r="N801" s="1"/>
  <c r="C802"/>
  <c r="P800"/>
  <c r="U783"/>
  <c r="T784" s="1"/>
  <c r="V783"/>
  <c r="W783" s="1"/>
  <c r="AB783" s="1"/>
  <c r="O801" l="1"/>
  <c r="K802"/>
  <c r="M802" s="1"/>
  <c r="N802" s="1"/>
  <c r="I802"/>
  <c r="X802"/>
  <c r="C803"/>
  <c r="P801"/>
  <c r="U784"/>
  <c r="T785" s="1"/>
  <c r="V784"/>
  <c r="W784" s="1"/>
  <c r="AB784" s="1"/>
  <c r="O802" l="1"/>
  <c r="I803"/>
  <c r="X803"/>
  <c r="K803"/>
  <c r="M803" s="1"/>
  <c r="N803" s="1"/>
  <c r="C804"/>
  <c r="U785"/>
  <c r="T786" s="1"/>
  <c r="V785"/>
  <c r="W785" s="1"/>
  <c r="AB785" s="1"/>
  <c r="P802"/>
  <c r="O803" l="1"/>
  <c r="K804"/>
  <c r="M804" s="1"/>
  <c r="N804" s="1"/>
  <c r="X804"/>
  <c r="I804"/>
  <c r="C805"/>
  <c r="P803"/>
  <c r="U786"/>
  <c r="T787" s="1"/>
  <c r="V786"/>
  <c r="W786" s="1"/>
  <c r="AB786" s="1"/>
  <c r="O804" l="1"/>
  <c r="K805"/>
  <c r="M805" s="1"/>
  <c r="N805" s="1"/>
  <c r="X805"/>
  <c r="I805"/>
  <c r="C806"/>
  <c r="P804"/>
  <c r="U787"/>
  <c r="T788" s="1"/>
  <c r="V787"/>
  <c r="W787" s="1"/>
  <c r="AB787" s="1"/>
  <c r="O805" l="1"/>
  <c r="I806"/>
  <c r="X806"/>
  <c r="K806"/>
  <c r="M806" s="1"/>
  <c r="N806" s="1"/>
  <c r="C807"/>
  <c r="P805"/>
  <c r="U788"/>
  <c r="T789" s="1"/>
  <c r="V788"/>
  <c r="W788" s="1"/>
  <c r="AB788" s="1"/>
  <c r="O806" l="1"/>
  <c r="I807"/>
  <c r="X807"/>
  <c r="K807"/>
  <c r="M807" s="1"/>
  <c r="N807" s="1"/>
  <c r="C808"/>
  <c r="U789"/>
  <c r="U790" s="1"/>
  <c r="V789"/>
  <c r="W789" s="1"/>
  <c r="AB789" s="1"/>
  <c r="P806"/>
  <c r="O807" l="1"/>
  <c r="I808"/>
  <c r="X808"/>
  <c r="K808"/>
  <c r="M808" s="1"/>
  <c r="N808" s="1"/>
  <c r="C809"/>
  <c r="P807"/>
  <c r="O808" l="1"/>
  <c r="K809"/>
  <c r="M809" s="1"/>
  <c r="N809" s="1"/>
  <c r="I809"/>
  <c r="X809"/>
  <c r="P808"/>
  <c r="O809" l="1"/>
  <c r="N810"/>
  <c r="N811" s="1"/>
  <c r="P809"/>
  <c r="P811" s="1"/>
  <c r="AE811" l="1"/>
  <c r="AE810" s="1"/>
  <c r="AE809" s="1"/>
  <c r="AE808" s="1"/>
  <c r="AE807" s="1"/>
  <c r="AE806" s="1"/>
  <c r="AE805" s="1"/>
  <c r="AE804" s="1"/>
  <c r="AE803" s="1"/>
  <c r="AE802" s="1"/>
  <c r="AE801" s="1"/>
  <c r="AE800" s="1"/>
  <c r="Y810"/>
  <c r="Y809" s="1"/>
  <c r="AD809" s="1"/>
  <c r="AC800"/>
  <c r="AC801" s="1"/>
  <c r="AC802" s="1"/>
  <c r="AC803" s="1"/>
  <c r="AC804" s="1"/>
  <c r="AC805" s="1"/>
  <c r="AC806" s="1"/>
  <c r="AC807" s="1"/>
  <c r="AC808" s="1"/>
  <c r="AC809" s="1"/>
  <c r="R809"/>
  <c r="S809"/>
  <c r="Q808" l="1"/>
  <c r="E809"/>
  <c r="D809" s="1"/>
  <c r="Y808"/>
  <c r="AD808" s="1"/>
  <c r="Z809"/>
  <c r="Y807" l="1"/>
  <c r="AD807" s="1"/>
  <c r="Z808"/>
  <c r="R808"/>
  <c r="S808"/>
  <c r="G809"/>
  <c r="H809"/>
  <c r="Q807" l="1"/>
  <c r="E808"/>
  <c r="D808" s="1"/>
  <c r="Y806"/>
  <c r="AD806" s="1"/>
  <c r="Z807"/>
  <c r="Y805" l="1"/>
  <c r="AD805" s="1"/>
  <c r="Z806"/>
  <c r="R807"/>
  <c r="S807"/>
  <c r="G808"/>
  <c r="H808"/>
  <c r="Q806" l="1"/>
  <c r="E807"/>
  <c r="D807" s="1"/>
  <c r="Y804"/>
  <c r="AD804" s="1"/>
  <c r="Z805"/>
  <c r="Y803" l="1"/>
  <c r="AD803" s="1"/>
  <c r="Z804"/>
  <c r="R806"/>
  <c r="S806"/>
  <c r="G807"/>
  <c r="H807"/>
  <c r="Q805" l="1"/>
  <c r="E806"/>
  <c r="D806" s="1"/>
  <c r="Y802"/>
  <c r="AD802" s="1"/>
  <c r="Z803"/>
  <c r="Y801" l="1"/>
  <c r="AD801" s="1"/>
  <c r="Z802"/>
  <c r="R805"/>
  <c r="S805"/>
  <c r="G806"/>
  <c r="H806"/>
  <c r="Q804" l="1"/>
  <c r="E805"/>
  <c r="D805" s="1"/>
  <c r="Y800"/>
  <c r="AD800" s="1"/>
  <c r="Z801"/>
  <c r="Z800" l="1"/>
  <c r="R804"/>
  <c r="S804"/>
  <c r="G805"/>
  <c r="H805"/>
  <c r="Q803" l="1"/>
  <c r="E804"/>
  <c r="D804" s="1"/>
  <c r="R803" l="1"/>
  <c r="S803"/>
  <c r="G804"/>
  <c r="H804"/>
  <c r="Q802" l="1"/>
  <c r="E803"/>
  <c r="D803" s="1"/>
  <c r="G803" l="1"/>
  <c r="H803"/>
  <c r="R802"/>
  <c r="S802"/>
  <c r="Q801" l="1"/>
  <c r="E802"/>
  <c r="D802" s="1"/>
  <c r="G802" l="1"/>
  <c r="H802"/>
  <c r="R801"/>
  <c r="S801"/>
  <c r="Q800" l="1"/>
  <c r="E801"/>
  <c r="D801" s="1"/>
  <c r="G801" l="1"/>
  <c r="H801"/>
  <c r="R800"/>
  <c r="E800" s="1"/>
  <c r="D800" s="1"/>
  <c r="S800"/>
  <c r="G800" l="1"/>
  <c r="H800"/>
  <c r="T800" s="1"/>
  <c r="U800" l="1"/>
  <c r="T801" s="1"/>
  <c r="V800"/>
  <c r="W800" s="1"/>
  <c r="AB800" s="1"/>
  <c r="C820" l="1"/>
  <c r="U801"/>
  <c r="T802" s="1"/>
  <c r="V801"/>
  <c r="W801" s="1"/>
  <c r="AB801" s="1"/>
  <c r="K820" l="1"/>
  <c r="M820" s="1"/>
  <c r="N820" s="1"/>
  <c r="I820"/>
  <c r="X820"/>
  <c r="C821"/>
  <c r="U802"/>
  <c r="T803" s="1"/>
  <c r="V802"/>
  <c r="W802" s="1"/>
  <c r="AB802" s="1"/>
  <c r="O820" l="1"/>
  <c r="X821"/>
  <c r="I821"/>
  <c r="K821"/>
  <c r="M821" s="1"/>
  <c r="N821" s="1"/>
  <c r="C822"/>
  <c r="P820"/>
  <c r="U803"/>
  <c r="T804" s="1"/>
  <c r="V803"/>
  <c r="W803" s="1"/>
  <c r="AB803" s="1"/>
  <c r="O821" l="1"/>
  <c r="K822"/>
  <c r="M822" s="1"/>
  <c r="N822" s="1"/>
  <c r="X822"/>
  <c r="I822"/>
  <c r="C823"/>
  <c r="U804"/>
  <c r="T805" s="1"/>
  <c r="V804"/>
  <c r="W804" s="1"/>
  <c r="AB804" s="1"/>
  <c r="P821"/>
  <c r="O822" l="1"/>
  <c r="X823"/>
  <c r="I823"/>
  <c r="K823"/>
  <c r="M823" s="1"/>
  <c r="N823" s="1"/>
  <c r="C824"/>
  <c r="P822"/>
  <c r="U805"/>
  <c r="T806" s="1"/>
  <c r="V805"/>
  <c r="W805" s="1"/>
  <c r="AB805" s="1"/>
  <c r="O823" l="1"/>
  <c r="K824"/>
  <c r="M824" s="1"/>
  <c r="N824" s="1"/>
  <c r="I824"/>
  <c r="C825"/>
  <c r="X824"/>
  <c r="U806"/>
  <c r="T807" s="1"/>
  <c r="V806"/>
  <c r="W806" s="1"/>
  <c r="AB806" s="1"/>
  <c r="P823"/>
  <c r="O824" l="1"/>
  <c r="X825"/>
  <c r="I825"/>
  <c r="K825"/>
  <c r="M825" s="1"/>
  <c r="N825" s="1"/>
  <c r="C826"/>
  <c r="P824"/>
  <c r="U807"/>
  <c r="T808" s="1"/>
  <c r="V807"/>
  <c r="W807" s="1"/>
  <c r="AB807" s="1"/>
  <c r="O825" l="1"/>
  <c r="X826"/>
  <c r="I826"/>
  <c r="K826"/>
  <c r="M826" s="1"/>
  <c r="N826" s="1"/>
  <c r="C827"/>
  <c r="U808"/>
  <c r="T809" s="1"/>
  <c r="V808"/>
  <c r="W808" s="1"/>
  <c r="AB808" s="1"/>
  <c r="P825"/>
  <c r="O826" l="1"/>
  <c r="I827"/>
  <c r="K827"/>
  <c r="M827" s="1"/>
  <c r="N827" s="1"/>
  <c r="X827"/>
  <c r="C828"/>
  <c r="P826"/>
  <c r="U809"/>
  <c r="U810" s="1"/>
  <c r="V809"/>
  <c r="W809" s="1"/>
  <c r="AB809" s="1"/>
  <c r="O827" l="1"/>
  <c r="K828"/>
  <c r="M828" s="1"/>
  <c r="N828" s="1"/>
  <c r="X828"/>
  <c r="I828"/>
  <c r="C829"/>
  <c r="P827"/>
  <c r="O828" l="1"/>
  <c r="X829"/>
  <c r="I829"/>
  <c r="K829"/>
  <c r="M829" s="1"/>
  <c r="N829" s="1"/>
  <c r="P828"/>
  <c r="O829" l="1"/>
  <c r="N830"/>
  <c r="N831" s="1"/>
  <c r="P829"/>
  <c r="P831" s="1"/>
  <c r="Y830" l="1"/>
  <c r="Y829" s="1"/>
  <c r="AD829" s="1"/>
  <c r="AE831"/>
  <c r="AE830" s="1"/>
  <c r="AE829" s="1"/>
  <c r="AE828" s="1"/>
  <c r="AE827" s="1"/>
  <c r="AE826" s="1"/>
  <c r="AE825" s="1"/>
  <c r="AE824" s="1"/>
  <c r="AE823" s="1"/>
  <c r="AE822" s="1"/>
  <c r="AE821" s="1"/>
  <c r="AE820" s="1"/>
  <c r="AC820"/>
  <c r="AC821" s="1"/>
  <c r="AC822" s="1"/>
  <c r="AC823" s="1"/>
  <c r="AC824" s="1"/>
  <c r="AC825" s="1"/>
  <c r="AC826" s="1"/>
  <c r="AC827" s="1"/>
  <c r="AC828" s="1"/>
  <c r="AC829" s="1"/>
  <c r="R829"/>
  <c r="S829"/>
  <c r="Z829" l="1"/>
  <c r="Y828"/>
  <c r="AD828" s="1"/>
  <c r="E829"/>
  <c r="D829" s="1"/>
  <c r="Q828"/>
  <c r="H829" l="1"/>
  <c r="G829"/>
  <c r="R828"/>
  <c r="S828"/>
  <c r="Z828"/>
  <c r="Y827"/>
  <c r="AD827" s="1"/>
  <c r="E828" l="1"/>
  <c r="D828" s="1"/>
  <c r="Q827"/>
  <c r="Z827"/>
  <c r="Y826"/>
  <c r="AD826" s="1"/>
  <c r="H828" l="1"/>
  <c r="G828"/>
  <c r="Z826"/>
  <c r="Y825"/>
  <c r="AD825" s="1"/>
  <c r="R827"/>
  <c r="S827"/>
  <c r="Z825" l="1"/>
  <c r="Y824"/>
  <c r="AD824" s="1"/>
  <c r="E827"/>
  <c r="D827" s="1"/>
  <c r="Q826"/>
  <c r="R826" l="1"/>
  <c r="S826"/>
  <c r="H827"/>
  <c r="G827"/>
  <c r="Z824"/>
  <c r="Y823"/>
  <c r="AD823" s="1"/>
  <c r="E826" l="1"/>
  <c r="D826" s="1"/>
  <c r="Q825"/>
  <c r="Z823"/>
  <c r="Y822"/>
  <c r="AD822" s="1"/>
  <c r="Z822" l="1"/>
  <c r="Y821"/>
  <c r="AD821" s="1"/>
  <c r="H826"/>
  <c r="G826"/>
  <c r="R825"/>
  <c r="S825"/>
  <c r="E825" l="1"/>
  <c r="D825" s="1"/>
  <c r="Q824"/>
  <c r="Z821"/>
  <c r="Y820"/>
  <c r="AD820" s="1"/>
  <c r="Z820" l="1"/>
  <c r="H825"/>
  <c r="G825"/>
  <c r="R824"/>
  <c r="S824"/>
  <c r="E824" l="1"/>
  <c r="D824" s="1"/>
  <c r="Q823"/>
  <c r="H824" l="1"/>
  <c r="G824"/>
  <c r="R823"/>
  <c r="S823"/>
  <c r="E823" l="1"/>
  <c r="D823" s="1"/>
  <c r="Q822"/>
  <c r="H823" l="1"/>
  <c r="G823"/>
  <c r="R822"/>
  <c r="S822"/>
  <c r="E822" l="1"/>
  <c r="D822" s="1"/>
  <c r="Q821"/>
  <c r="H822" l="1"/>
  <c r="G822"/>
  <c r="R821"/>
  <c r="S821"/>
  <c r="E821" l="1"/>
  <c r="D821" s="1"/>
  <c r="Q820"/>
  <c r="H821" l="1"/>
  <c r="G821"/>
  <c r="R820"/>
  <c r="E820" s="1"/>
  <c r="D820" s="1"/>
  <c r="S820"/>
  <c r="H820" l="1"/>
  <c r="T820" s="1"/>
  <c r="G820"/>
  <c r="U820" l="1"/>
  <c r="T821" s="1"/>
  <c r="V820"/>
  <c r="W820" s="1"/>
  <c r="AB820" s="1"/>
  <c r="C840" l="1"/>
  <c r="U821"/>
  <c r="T822" s="1"/>
  <c r="V821"/>
  <c r="W821" s="1"/>
  <c r="AB821" s="1"/>
  <c r="X840" l="1"/>
  <c r="K840"/>
  <c r="M840" s="1"/>
  <c r="N840" s="1"/>
  <c r="I840"/>
  <c r="C841"/>
  <c r="U822"/>
  <c r="T823" s="1"/>
  <c r="V822"/>
  <c r="W822" s="1"/>
  <c r="AB822" s="1"/>
  <c r="O840" l="1"/>
  <c r="X841"/>
  <c r="I841"/>
  <c r="K841"/>
  <c r="M841" s="1"/>
  <c r="N841" s="1"/>
  <c r="C842"/>
  <c r="P840"/>
  <c r="U823"/>
  <c r="T824" s="1"/>
  <c r="V823"/>
  <c r="W823" s="1"/>
  <c r="AB823" s="1"/>
  <c r="O841" l="1"/>
  <c r="K842"/>
  <c r="M842" s="1"/>
  <c r="N842" s="1"/>
  <c r="I842"/>
  <c r="X842"/>
  <c r="C843"/>
  <c r="P841"/>
  <c r="U824"/>
  <c r="T825" s="1"/>
  <c r="V824"/>
  <c r="W824" s="1"/>
  <c r="AB824" s="1"/>
  <c r="O842" l="1"/>
  <c r="I843"/>
  <c r="X843"/>
  <c r="K843"/>
  <c r="M843" s="1"/>
  <c r="N843" s="1"/>
  <c r="C844"/>
  <c r="P842"/>
  <c r="U825"/>
  <c r="T826" s="1"/>
  <c r="V825"/>
  <c r="W825" s="1"/>
  <c r="AB825" s="1"/>
  <c r="O843" l="1"/>
  <c r="K844"/>
  <c r="M844" s="1"/>
  <c r="N844" s="1"/>
  <c r="X844"/>
  <c r="I844"/>
  <c r="C845"/>
  <c r="P843"/>
  <c r="U826"/>
  <c r="T827" s="1"/>
  <c r="V826"/>
  <c r="W826" s="1"/>
  <c r="AB826" s="1"/>
  <c r="O844" l="1"/>
  <c r="I845"/>
  <c r="X845"/>
  <c r="K845"/>
  <c r="M845" s="1"/>
  <c r="N845" s="1"/>
  <c r="C846"/>
  <c r="U827"/>
  <c r="T828" s="1"/>
  <c r="V827"/>
  <c r="W827" s="1"/>
  <c r="AB827" s="1"/>
  <c r="P844"/>
  <c r="O845" l="1"/>
  <c r="K846"/>
  <c r="M846" s="1"/>
  <c r="N846" s="1"/>
  <c r="X846"/>
  <c r="I846"/>
  <c r="C847"/>
  <c r="P845"/>
  <c r="U828"/>
  <c r="T829" s="1"/>
  <c r="V828"/>
  <c r="W828" s="1"/>
  <c r="AB828" s="1"/>
  <c r="O846" l="1"/>
  <c r="K847"/>
  <c r="M847" s="1"/>
  <c r="N847" s="1"/>
  <c r="I847"/>
  <c r="X847"/>
  <c r="C848"/>
  <c r="P846"/>
  <c r="U829"/>
  <c r="U830" s="1"/>
  <c r="V829"/>
  <c r="W829" s="1"/>
  <c r="AB829" s="1"/>
  <c r="O847" l="1"/>
  <c r="I848"/>
  <c r="X848"/>
  <c r="K848"/>
  <c r="M848" s="1"/>
  <c r="N848" s="1"/>
  <c r="C849"/>
  <c r="P847"/>
  <c r="O848" l="1"/>
  <c r="I849"/>
  <c r="X849"/>
  <c r="K849"/>
  <c r="M849" s="1"/>
  <c r="N849" s="1"/>
  <c r="P848"/>
  <c r="O849" l="1"/>
  <c r="N850"/>
  <c r="N851" s="1"/>
  <c r="P849"/>
  <c r="P851" s="1"/>
  <c r="AE851" l="1"/>
  <c r="AE850" s="1"/>
  <c r="AE849" s="1"/>
  <c r="AE848" s="1"/>
  <c r="AE847" s="1"/>
  <c r="AE846" s="1"/>
  <c r="AE845" s="1"/>
  <c r="AE844" s="1"/>
  <c r="AE843" s="1"/>
  <c r="AE842" s="1"/>
  <c r="AE841" s="1"/>
  <c r="AE840" s="1"/>
  <c r="Y850"/>
  <c r="Y849" s="1"/>
  <c r="AD849" s="1"/>
  <c r="AC840"/>
  <c r="AC841" s="1"/>
  <c r="AC842" s="1"/>
  <c r="AC843" s="1"/>
  <c r="AC844" s="1"/>
  <c r="AC845" s="1"/>
  <c r="AC846" s="1"/>
  <c r="AC847" s="1"/>
  <c r="AC848" s="1"/>
  <c r="AC849" s="1"/>
  <c r="R849"/>
  <c r="S849"/>
  <c r="Q848" l="1"/>
  <c r="E849"/>
  <c r="D849" s="1"/>
  <c r="Y848"/>
  <c r="AD848" s="1"/>
  <c r="Z849"/>
  <c r="Y847" l="1"/>
  <c r="AD847" s="1"/>
  <c r="Z848"/>
  <c r="R848"/>
  <c r="S848"/>
  <c r="G849"/>
  <c r="H849"/>
  <c r="Q847" l="1"/>
  <c r="E848"/>
  <c r="D848" s="1"/>
  <c r="Y846"/>
  <c r="AD846" s="1"/>
  <c r="Z847"/>
  <c r="Y845" l="1"/>
  <c r="AD845" s="1"/>
  <c r="Z846"/>
  <c r="R847"/>
  <c r="S847"/>
  <c r="G848"/>
  <c r="H848"/>
  <c r="Q846" l="1"/>
  <c r="E847"/>
  <c r="D847" s="1"/>
  <c r="Y844"/>
  <c r="AD844" s="1"/>
  <c r="Z845"/>
  <c r="Y843" l="1"/>
  <c r="AD843" s="1"/>
  <c r="Z844"/>
  <c r="R846"/>
  <c r="S846"/>
  <c r="G847"/>
  <c r="H847"/>
  <c r="Q845" l="1"/>
  <c r="E846"/>
  <c r="D846" s="1"/>
  <c r="Y842"/>
  <c r="AD842" s="1"/>
  <c r="Z843"/>
  <c r="G846" l="1"/>
  <c r="H846"/>
  <c r="Y841"/>
  <c r="AD841" s="1"/>
  <c r="Z842"/>
  <c r="R845"/>
  <c r="S845"/>
  <c r="Q844" l="1"/>
  <c r="E845"/>
  <c r="D845" s="1"/>
  <c r="Y840"/>
  <c r="AD840" s="1"/>
  <c r="Z841"/>
  <c r="Z840" l="1"/>
  <c r="R844"/>
  <c r="S844"/>
  <c r="G845"/>
  <c r="H845"/>
  <c r="Q843" l="1"/>
  <c r="E844"/>
  <c r="D844" s="1"/>
  <c r="G844" l="1"/>
  <c r="H844"/>
  <c r="R843"/>
  <c r="S843"/>
  <c r="Q842" l="1"/>
  <c r="E843"/>
  <c r="D843" s="1"/>
  <c r="G843" l="1"/>
  <c r="H843"/>
  <c r="R842"/>
  <c r="S842"/>
  <c r="Q841" l="1"/>
  <c r="E842"/>
  <c r="D842" s="1"/>
  <c r="G842" l="1"/>
  <c r="H842"/>
  <c r="R841"/>
  <c r="S841"/>
  <c r="Q840" l="1"/>
  <c r="E841"/>
  <c r="D841" s="1"/>
  <c r="G841" l="1"/>
  <c r="H841"/>
  <c r="R840"/>
  <c r="E840" s="1"/>
  <c r="D840" s="1"/>
  <c r="S840"/>
  <c r="G840" l="1"/>
  <c r="H840"/>
  <c r="T840" s="1"/>
  <c r="U840" l="1"/>
  <c r="T841" s="1"/>
  <c r="V840"/>
  <c r="W840" s="1"/>
  <c r="AB840" s="1"/>
  <c r="C860" l="1"/>
  <c r="U841"/>
  <c r="T842" s="1"/>
  <c r="V841"/>
  <c r="W841" s="1"/>
  <c r="AB841" s="1"/>
  <c r="X860" l="1"/>
  <c r="I860"/>
  <c r="K860"/>
  <c r="M860" s="1"/>
  <c r="N860" s="1"/>
  <c r="C861"/>
  <c r="U842"/>
  <c r="T843" s="1"/>
  <c r="V842"/>
  <c r="W842" s="1"/>
  <c r="AB842" s="1"/>
  <c r="O860" l="1"/>
  <c r="I861"/>
  <c r="X861"/>
  <c r="K861"/>
  <c r="M861" s="1"/>
  <c r="N861" s="1"/>
  <c r="C862"/>
  <c r="P860"/>
  <c r="U843"/>
  <c r="T844" s="1"/>
  <c r="V843"/>
  <c r="W843" s="1"/>
  <c r="AB843" s="1"/>
  <c r="O861" l="1"/>
  <c r="K862"/>
  <c r="M862" s="1"/>
  <c r="N862" s="1"/>
  <c r="X862"/>
  <c r="I862"/>
  <c r="C863"/>
  <c r="U844"/>
  <c r="T845" s="1"/>
  <c r="V844"/>
  <c r="W844" s="1"/>
  <c r="AB844" s="1"/>
  <c r="P861"/>
  <c r="O862" l="1"/>
  <c r="X863"/>
  <c r="I863"/>
  <c r="K863"/>
  <c r="M863" s="1"/>
  <c r="N863" s="1"/>
  <c r="C864"/>
  <c r="P862"/>
  <c r="U845"/>
  <c r="T846" s="1"/>
  <c r="V845"/>
  <c r="W845" s="1"/>
  <c r="AB845" s="1"/>
  <c r="O863" l="1"/>
  <c r="K864"/>
  <c r="M864" s="1"/>
  <c r="N864" s="1"/>
  <c r="I864"/>
  <c r="C865"/>
  <c r="X864"/>
  <c r="U846"/>
  <c r="T847" s="1"/>
  <c r="V846"/>
  <c r="W846" s="1"/>
  <c r="AB846" s="1"/>
  <c r="P863"/>
  <c r="O864" l="1"/>
  <c r="K865"/>
  <c r="M865" s="1"/>
  <c r="N865" s="1"/>
  <c r="X865"/>
  <c r="I865"/>
  <c r="C866"/>
  <c r="P864"/>
  <c r="U847"/>
  <c r="T848" s="1"/>
  <c r="V847"/>
  <c r="W847" s="1"/>
  <c r="AB847" s="1"/>
  <c r="O865" l="1"/>
  <c r="K866"/>
  <c r="M866" s="1"/>
  <c r="N866" s="1"/>
  <c r="I866"/>
  <c r="X866"/>
  <c r="C867"/>
  <c r="U848"/>
  <c r="T849" s="1"/>
  <c r="V848"/>
  <c r="W848" s="1"/>
  <c r="AB848" s="1"/>
  <c r="P865"/>
  <c r="O866" l="1"/>
  <c r="X867"/>
  <c r="I867"/>
  <c r="K867"/>
  <c r="M867" s="1"/>
  <c r="N867" s="1"/>
  <c r="C868"/>
  <c r="P866"/>
  <c r="U849"/>
  <c r="U850" s="1"/>
  <c r="V849"/>
  <c r="W849" s="1"/>
  <c r="AB849" s="1"/>
  <c r="O867" l="1"/>
  <c r="K868"/>
  <c r="M868" s="1"/>
  <c r="N868" s="1"/>
  <c r="I868"/>
  <c r="X868"/>
  <c r="C869"/>
  <c r="P867"/>
  <c r="O868" l="1"/>
  <c r="X869"/>
  <c r="I869"/>
  <c r="K869"/>
  <c r="M869" s="1"/>
  <c r="N869" s="1"/>
  <c r="P868"/>
  <c r="O869" l="1"/>
  <c r="N870"/>
  <c r="N871" s="1"/>
  <c r="P869"/>
  <c r="P871" s="1"/>
  <c r="Y870" l="1"/>
  <c r="Y869" s="1"/>
  <c r="AD869" s="1"/>
  <c r="AE871"/>
  <c r="AE870" s="1"/>
  <c r="AE869" s="1"/>
  <c r="AE868" s="1"/>
  <c r="AE867" s="1"/>
  <c r="AE866" s="1"/>
  <c r="AE865" s="1"/>
  <c r="AE864" s="1"/>
  <c r="AE863" s="1"/>
  <c r="AE862" s="1"/>
  <c r="AE861" s="1"/>
  <c r="AE860" s="1"/>
  <c r="AC860"/>
  <c r="AC861" s="1"/>
  <c r="AC862" s="1"/>
  <c r="AC863" s="1"/>
  <c r="AC864" s="1"/>
  <c r="AC865" s="1"/>
  <c r="AC866" s="1"/>
  <c r="AC867" s="1"/>
  <c r="AC868" s="1"/>
  <c r="AC869" s="1"/>
  <c r="R869"/>
  <c r="S869"/>
  <c r="Z869" l="1"/>
  <c r="Y868"/>
  <c r="AD868" s="1"/>
  <c r="E869"/>
  <c r="D869" s="1"/>
  <c r="Q868"/>
  <c r="R868" l="1"/>
  <c r="S868"/>
  <c r="H869"/>
  <c r="G869"/>
  <c r="Z868"/>
  <c r="Y867"/>
  <c r="AD867" s="1"/>
  <c r="E868" l="1"/>
  <c r="D868" s="1"/>
  <c r="Q867"/>
  <c r="Z867"/>
  <c r="Y866"/>
  <c r="AD866" s="1"/>
  <c r="Z866" l="1"/>
  <c r="Y865"/>
  <c r="AD865" s="1"/>
  <c r="H868"/>
  <c r="G868"/>
  <c r="R867"/>
  <c r="S867"/>
  <c r="E867" l="1"/>
  <c r="D867" s="1"/>
  <c r="Q866"/>
  <c r="Z865"/>
  <c r="Y864"/>
  <c r="AD864" s="1"/>
  <c r="Z864" l="1"/>
  <c r="Y863"/>
  <c r="AD863" s="1"/>
  <c r="H867"/>
  <c r="G867"/>
  <c r="R866"/>
  <c r="S866"/>
  <c r="E866" l="1"/>
  <c r="D866" s="1"/>
  <c r="Q865"/>
  <c r="Z863"/>
  <c r="Y862"/>
  <c r="AD862" s="1"/>
  <c r="H866" l="1"/>
  <c r="G866"/>
  <c r="Z862"/>
  <c r="Y861"/>
  <c r="AD861" s="1"/>
  <c r="R865"/>
  <c r="S865"/>
  <c r="E865" l="1"/>
  <c r="D865" s="1"/>
  <c r="Q864"/>
  <c r="Z861"/>
  <c r="Y860"/>
  <c r="AD860" s="1"/>
  <c r="Z860" l="1"/>
  <c r="H865"/>
  <c r="G865"/>
  <c r="R864"/>
  <c r="S864"/>
  <c r="E864" l="1"/>
  <c r="D864" s="1"/>
  <c r="Q863"/>
  <c r="H864" l="1"/>
  <c r="G864"/>
  <c r="R863"/>
  <c r="S863"/>
  <c r="E863" l="1"/>
  <c r="D863" s="1"/>
  <c r="Q862"/>
  <c r="H863" l="1"/>
  <c r="G863"/>
  <c r="R862"/>
  <c r="S862"/>
  <c r="E862" l="1"/>
  <c r="D862" s="1"/>
  <c r="Q861"/>
  <c r="R861" l="1"/>
  <c r="S861"/>
  <c r="H862"/>
  <c r="G862"/>
  <c r="E861" l="1"/>
  <c r="D861" s="1"/>
  <c r="Q860"/>
  <c r="R860" l="1"/>
  <c r="E860" s="1"/>
  <c r="D860" s="1"/>
  <c r="S860"/>
  <c r="H861"/>
  <c r="G861"/>
  <c r="H860" l="1"/>
  <c r="T860" s="1"/>
  <c r="G860"/>
  <c r="U860" l="1"/>
  <c r="T861" s="1"/>
  <c r="V860"/>
  <c r="W860" s="1"/>
  <c r="AB860" s="1"/>
  <c r="C880" l="1"/>
  <c r="U861"/>
  <c r="T862" s="1"/>
  <c r="V861"/>
  <c r="W861" s="1"/>
  <c r="AB861" s="1"/>
  <c r="X880" l="1"/>
  <c r="K880"/>
  <c r="M880" s="1"/>
  <c r="N880" s="1"/>
  <c r="I880"/>
  <c r="C881"/>
  <c r="U862"/>
  <c r="T863" s="1"/>
  <c r="V862"/>
  <c r="W862" s="1"/>
  <c r="AB862" s="1"/>
  <c r="O880" l="1"/>
  <c r="I881"/>
  <c r="X881"/>
  <c r="K881"/>
  <c r="M881" s="1"/>
  <c r="N881" s="1"/>
  <c r="C882"/>
  <c r="U863"/>
  <c r="T864" s="1"/>
  <c r="V863"/>
  <c r="W863" s="1"/>
  <c r="AB863" s="1"/>
  <c r="P880"/>
  <c r="O881" l="1"/>
  <c r="K882"/>
  <c r="M882" s="1"/>
  <c r="N882" s="1"/>
  <c r="I882"/>
  <c r="X882"/>
  <c r="C883"/>
  <c r="P881"/>
  <c r="U864"/>
  <c r="T865" s="1"/>
  <c r="V864"/>
  <c r="W864" s="1"/>
  <c r="AB864" s="1"/>
  <c r="O882" l="1"/>
  <c r="K883"/>
  <c r="M883" s="1"/>
  <c r="N883" s="1"/>
  <c r="X883"/>
  <c r="I883"/>
  <c r="C884"/>
  <c r="P882"/>
  <c r="U865"/>
  <c r="T866" s="1"/>
  <c r="V865"/>
  <c r="W865" s="1"/>
  <c r="AB865" s="1"/>
  <c r="O883" l="1"/>
  <c r="I884"/>
  <c r="X884"/>
  <c r="K884"/>
  <c r="M884" s="1"/>
  <c r="N884" s="1"/>
  <c r="C885"/>
  <c r="P883"/>
  <c r="U866"/>
  <c r="T867" s="1"/>
  <c r="V866"/>
  <c r="W866" s="1"/>
  <c r="AB866" s="1"/>
  <c r="O884" l="1"/>
  <c r="I885"/>
  <c r="X885"/>
  <c r="K885"/>
  <c r="M885" s="1"/>
  <c r="N885" s="1"/>
  <c r="C886"/>
  <c r="U867"/>
  <c r="T868" s="1"/>
  <c r="V867"/>
  <c r="W867" s="1"/>
  <c r="AB867" s="1"/>
  <c r="P884"/>
  <c r="O885" l="1"/>
  <c r="I886"/>
  <c r="X886"/>
  <c r="K886"/>
  <c r="M886" s="1"/>
  <c r="N886" s="1"/>
  <c r="C887"/>
  <c r="P885"/>
  <c r="U868"/>
  <c r="T869" s="1"/>
  <c r="V868"/>
  <c r="W868" s="1"/>
  <c r="AB868" s="1"/>
  <c r="O886" l="1"/>
  <c r="K887"/>
  <c r="M887" s="1"/>
  <c r="N887" s="1"/>
  <c r="I887"/>
  <c r="X887"/>
  <c r="C888"/>
  <c r="P886"/>
  <c r="U869"/>
  <c r="U870" s="1"/>
  <c r="V869"/>
  <c r="W869" s="1"/>
  <c r="AB869" s="1"/>
  <c r="O887" l="1"/>
  <c r="I888"/>
  <c r="X888"/>
  <c r="K888"/>
  <c r="M888" s="1"/>
  <c r="N888" s="1"/>
  <c r="C889"/>
  <c r="P887"/>
  <c r="O888" l="1"/>
  <c r="I889"/>
  <c r="X889"/>
  <c r="K889"/>
  <c r="M889" s="1"/>
  <c r="N889" s="1"/>
  <c r="P888"/>
  <c r="O889" l="1"/>
  <c r="N890"/>
  <c r="N891" s="1"/>
  <c r="P889"/>
  <c r="P891" s="1"/>
  <c r="AE891" l="1"/>
  <c r="AE890" s="1"/>
  <c r="AE889" s="1"/>
  <c r="AE888" s="1"/>
  <c r="AE887" s="1"/>
  <c r="AE886" s="1"/>
  <c r="AE885" s="1"/>
  <c r="AE884" s="1"/>
  <c r="AE883" s="1"/>
  <c r="AE882" s="1"/>
  <c r="AE881" s="1"/>
  <c r="AE880" s="1"/>
  <c r="Y890"/>
  <c r="Y889" s="1"/>
  <c r="AD889" s="1"/>
  <c r="AC880"/>
  <c r="AC881" s="1"/>
  <c r="AC882" s="1"/>
  <c r="AC883" s="1"/>
  <c r="AC884" s="1"/>
  <c r="AC885" s="1"/>
  <c r="AC886" s="1"/>
  <c r="AC887" s="1"/>
  <c r="AC888" s="1"/>
  <c r="AC889" s="1"/>
  <c r="R889"/>
  <c r="S889"/>
  <c r="Q888" l="1"/>
  <c r="E889"/>
  <c r="D889" s="1"/>
  <c r="Y888"/>
  <c r="AD888" s="1"/>
  <c r="Z889"/>
  <c r="Y887" l="1"/>
  <c r="AD887" s="1"/>
  <c r="Z888"/>
  <c r="R888"/>
  <c r="S888"/>
  <c r="G889"/>
  <c r="H889"/>
  <c r="Q887" l="1"/>
  <c r="E888"/>
  <c r="D888" s="1"/>
  <c r="Y886"/>
  <c r="AD886" s="1"/>
  <c r="Z887"/>
  <c r="Y885" l="1"/>
  <c r="AD885" s="1"/>
  <c r="Z886"/>
  <c r="R887"/>
  <c r="S887"/>
  <c r="G888"/>
  <c r="H888"/>
  <c r="Q886" l="1"/>
  <c r="E887"/>
  <c r="D887" s="1"/>
  <c r="Y884"/>
  <c r="AD884" s="1"/>
  <c r="Z885"/>
  <c r="Y883" l="1"/>
  <c r="AD883" s="1"/>
  <c r="Z884"/>
  <c r="R886"/>
  <c r="S886"/>
  <c r="G887"/>
  <c r="H887"/>
  <c r="Q885" l="1"/>
  <c r="E886"/>
  <c r="D886" s="1"/>
  <c r="Y882"/>
  <c r="AD882" s="1"/>
  <c r="Z883"/>
  <c r="Y881" l="1"/>
  <c r="AD881" s="1"/>
  <c r="Z882"/>
  <c r="R885"/>
  <c r="S885"/>
  <c r="G886"/>
  <c r="H886"/>
  <c r="Q884" l="1"/>
  <c r="E885"/>
  <c r="D885" s="1"/>
  <c r="Y880"/>
  <c r="AD880" s="1"/>
  <c r="Z881"/>
  <c r="Z880" l="1"/>
  <c r="R884"/>
  <c r="S884"/>
  <c r="G885"/>
  <c r="H885"/>
  <c r="Q883" l="1"/>
  <c r="E884"/>
  <c r="D884" s="1"/>
  <c r="R883" l="1"/>
  <c r="S883"/>
  <c r="G884"/>
  <c r="H884"/>
  <c r="Q882" l="1"/>
  <c r="E883"/>
  <c r="D883" s="1"/>
  <c r="G883" l="1"/>
  <c r="H883"/>
  <c r="R882"/>
  <c r="S882"/>
  <c r="Q881" l="1"/>
  <c r="E882"/>
  <c r="D882" s="1"/>
  <c r="G882" l="1"/>
  <c r="H882"/>
  <c r="R881"/>
  <c r="S881"/>
  <c r="Q880" l="1"/>
  <c r="E881"/>
  <c r="D881" s="1"/>
  <c r="G881" l="1"/>
  <c r="H881"/>
  <c r="R880"/>
  <c r="E880" s="1"/>
  <c r="D880" s="1"/>
  <c r="S880"/>
  <c r="G880" l="1"/>
  <c r="H880"/>
  <c r="T880" s="1"/>
  <c r="U880" l="1"/>
  <c r="T881" s="1"/>
  <c r="V880"/>
  <c r="W880" s="1"/>
  <c r="AB880" s="1"/>
  <c r="C900" l="1"/>
  <c r="U881"/>
  <c r="T882" s="1"/>
  <c r="V881"/>
  <c r="W881" s="1"/>
  <c r="AB881" s="1"/>
  <c r="K900" l="1"/>
  <c r="M900" s="1"/>
  <c r="N900" s="1"/>
  <c r="X900"/>
  <c r="I900"/>
  <c r="C901"/>
  <c r="U882"/>
  <c r="T883" s="1"/>
  <c r="V882"/>
  <c r="W882" s="1"/>
  <c r="AB882" s="1"/>
  <c r="O900" l="1"/>
  <c r="I901"/>
  <c r="X901"/>
  <c r="K901"/>
  <c r="M901" s="1"/>
  <c r="N901" s="1"/>
  <c r="C902"/>
  <c r="P900"/>
  <c r="U883"/>
  <c r="T884" s="1"/>
  <c r="V883"/>
  <c r="W883" s="1"/>
  <c r="AB883" s="1"/>
  <c r="O901" l="1"/>
  <c r="K902"/>
  <c r="M902" s="1"/>
  <c r="N902" s="1"/>
  <c r="I902"/>
  <c r="X902"/>
  <c r="C903"/>
  <c r="U884"/>
  <c r="T885" s="1"/>
  <c r="V884"/>
  <c r="W884" s="1"/>
  <c r="AB884" s="1"/>
  <c r="P901"/>
  <c r="O902" l="1"/>
  <c r="X903"/>
  <c r="I903"/>
  <c r="K903"/>
  <c r="M903" s="1"/>
  <c r="N903" s="1"/>
  <c r="C904"/>
  <c r="P902"/>
  <c r="U885"/>
  <c r="T886" s="1"/>
  <c r="V885"/>
  <c r="W885" s="1"/>
  <c r="AB885" s="1"/>
  <c r="O903" l="1"/>
  <c r="K904"/>
  <c r="M904" s="1"/>
  <c r="N904" s="1"/>
  <c r="I904"/>
  <c r="C905"/>
  <c r="X904"/>
  <c r="U886"/>
  <c r="T887" s="1"/>
  <c r="V886"/>
  <c r="W886" s="1"/>
  <c r="AB886" s="1"/>
  <c r="P903"/>
  <c r="O904" l="1"/>
  <c r="K905"/>
  <c r="M905" s="1"/>
  <c r="N905" s="1"/>
  <c r="X905"/>
  <c r="I905"/>
  <c r="C906"/>
  <c r="P904"/>
  <c r="U887"/>
  <c r="T888" s="1"/>
  <c r="V887"/>
  <c r="W887" s="1"/>
  <c r="AB887" s="1"/>
  <c r="O905" l="1"/>
  <c r="K906"/>
  <c r="M906" s="1"/>
  <c r="N906" s="1"/>
  <c r="X906"/>
  <c r="I906"/>
  <c r="C907"/>
  <c r="U888"/>
  <c r="T889" s="1"/>
  <c r="V888"/>
  <c r="W888" s="1"/>
  <c r="AB888" s="1"/>
  <c r="P905"/>
  <c r="O906" l="1"/>
  <c r="X907"/>
  <c r="I907"/>
  <c r="K907"/>
  <c r="M907" s="1"/>
  <c r="N907" s="1"/>
  <c r="C908"/>
  <c r="P906"/>
  <c r="U889"/>
  <c r="U890" s="1"/>
  <c r="V889"/>
  <c r="W889" s="1"/>
  <c r="AB889" s="1"/>
  <c r="O907" l="1"/>
  <c r="X908"/>
  <c r="I908"/>
  <c r="K908"/>
  <c r="M908" s="1"/>
  <c r="N908" s="1"/>
  <c r="C909"/>
  <c r="P907"/>
  <c r="O908" l="1"/>
  <c r="X909"/>
  <c r="I909"/>
  <c r="K909"/>
  <c r="M909" s="1"/>
  <c r="N909" s="1"/>
  <c r="P908"/>
  <c r="O909" l="1"/>
  <c r="N910"/>
  <c r="N911" s="1"/>
  <c r="P909"/>
  <c r="P911" s="1"/>
  <c r="R909" l="1"/>
  <c r="S909"/>
  <c r="Y910"/>
  <c r="Y909" s="1"/>
  <c r="AD909" s="1"/>
  <c r="AE911"/>
  <c r="AE910" s="1"/>
  <c r="AE909" s="1"/>
  <c r="AE908" s="1"/>
  <c r="AE907" s="1"/>
  <c r="AE906" s="1"/>
  <c r="AE905" s="1"/>
  <c r="AE904" s="1"/>
  <c r="AE903" s="1"/>
  <c r="AE902" s="1"/>
  <c r="AE901" s="1"/>
  <c r="AE900" s="1"/>
  <c r="AC900"/>
  <c r="AC901" s="1"/>
  <c r="AC902" s="1"/>
  <c r="AC903" s="1"/>
  <c r="AC904" s="1"/>
  <c r="AC905" s="1"/>
  <c r="AC906" s="1"/>
  <c r="AC907" s="1"/>
  <c r="AC908" s="1"/>
  <c r="AC909" s="1"/>
  <c r="E909" l="1"/>
  <c r="D909" s="1"/>
  <c r="Q908"/>
  <c r="Z909"/>
  <c r="Y908"/>
  <c r="AD908" s="1"/>
  <c r="H909" l="1"/>
  <c r="G909"/>
  <c r="Z908"/>
  <c r="Y907"/>
  <c r="AD907" s="1"/>
  <c r="R908"/>
  <c r="S908"/>
  <c r="E908" l="1"/>
  <c r="D908" s="1"/>
  <c r="Q907"/>
  <c r="Z907"/>
  <c r="Y906"/>
  <c r="AD906" s="1"/>
  <c r="H908" l="1"/>
  <c r="G908"/>
  <c r="Z906"/>
  <c r="Y905"/>
  <c r="AD905" s="1"/>
  <c r="R907"/>
  <c r="S907"/>
  <c r="Z905" l="1"/>
  <c r="Y904"/>
  <c r="AD904" s="1"/>
  <c r="E907"/>
  <c r="D907" s="1"/>
  <c r="Q906"/>
  <c r="R906" l="1"/>
  <c r="S906"/>
  <c r="H907"/>
  <c r="G907"/>
  <c r="Z904"/>
  <c r="Y903"/>
  <c r="AD903" s="1"/>
  <c r="E906" l="1"/>
  <c r="D906" s="1"/>
  <c r="Q905"/>
  <c r="Z903"/>
  <c r="Y902"/>
  <c r="AD902" s="1"/>
  <c r="Z902" l="1"/>
  <c r="Y901"/>
  <c r="AD901" s="1"/>
  <c r="H906"/>
  <c r="G906"/>
  <c r="R905"/>
  <c r="S905"/>
  <c r="E905" l="1"/>
  <c r="D905" s="1"/>
  <c r="Q904"/>
  <c r="Z901"/>
  <c r="Y900"/>
  <c r="AD900" s="1"/>
  <c r="Z900" l="1"/>
  <c r="H905"/>
  <c r="G905"/>
  <c r="R904"/>
  <c r="S904"/>
  <c r="E904" l="1"/>
  <c r="D904" s="1"/>
  <c r="Q903"/>
  <c r="H904" l="1"/>
  <c r="G904"/>
  <c r="R903"/>
  <c r="S903"/>
  <c r="E903" l="1"/>
  <c r="D903" s="1"/>
  <c r="Q902"/>
  <c r="R902" l="1"/>
  <c r="S902"/>
  <c r="H903"/>
  <c r="G903"/>
  <c r="E902" l="1"/>
  <c r="D902" s="1"/>
  <c r="Q901"/>
  <c r="R901" l="1"/>
  <c r="S901"/>
  <c r="H902"/>
  <c r="G902"/>
  <c r="E901" l="1"/>
  <c r="D901" s="1"/>
  <c r="Q900"/>
  <c r="R900" l="1"/>
  <c r="E900" s="1"/>
  <c r="D900" s="1"/>
  <c r="S900"/>
  <c r="H901"/>
  <c r="G901"/>
  <c r="H900" l="1"/>
  <c r="T900" s="1"/>
  <c r="G900"/>
  <c r="U900" l="1"/>
  <c r="T901" s="1"/>
  <c r="V900"/>
  <c r="W900" s="1"/>
  <c r="AB900" s="1"/>
  <c r="C920" l="1"/>
  <c r="U901"/>
  <c r="T902" s="1"/>
  <c r="V901"/>
  <c r="W901" s="1"/>
  <c r="AB901" s="1"/>
  <c r="X920" l="1"/>
  <c r="K920"/>
  <c r="M920" s="1"/>
  <c r="N920" s="1"/>
  <c r="I920"/>
  <c r="C921"/>
  <c r="U902"/>
  <c r="T903" s="1"/>
  <c r="V902"/>
  <c r="W902" s="1"/>
  <c r="AB902" s="1"/>
  <c r="O920" l="1"/>
  <c r="I921"/>
  <c r="X921"/>
  <c r="K921"/>
  <c r="M921" s="1"/>
  <c r="N921" s="1"/>
  <c r="C922"/>
  <c r="U903"/>
  <c r="T904" s="1"/>
  <c r="V903"/>
  <c r="W903" s="1"/>
  <c r="AB903" s="1"/>
  <c r="P920"/>
  <c r="O921" l="1"/>
  <c r="I922"/>
  <c r="X922"/>
  <c r="K922"/>
  <c r="M922" s="1"/>
  <c r="N922" s="1"/>
  <c r="C923"/>
  <c r="P921"/>
  <c r="U904"/>
  <c r="T905" s="1"/>
  <c r="V904"/>
  <c r="W904" s="1"/>
  <c r="AB904" s="1"/>
  <c r="O922" l="1"/>
  <c r="K923"/>
  <c r="M923" s="1"/>
  <c r="N923" s="1"/>
  <c r="I923"/>
  <c r="X923"/>
  <c r="C924"/>
  <c r="P922"/>
  <c r="U905"/>
  <c r="T906" s="1"/>
  <c r="V905"/>
  <c r="W905" s="1"/>
  <c r="AB905" s="1"/>
  <c r="O923" l="1"/>
  <c r="I924"/>
  <c r="X924"/>
  <c r="K924"/>
  <c r="M924" s="1"/>
  <c r="N924" s="1"/>
  <c r="C925"/>
  <c r="P923"/>
  <c r="U906"/>
  <c r="T907" s="1"/>
  <c r="V906"/>
  <c r="W906" s="1"/>
  <c r="AB906" s="1"/>
  <c r="O924" l="1"/>
  <c r="I925"/>
  <c r="X925"/>
  <c r="K925"/>
  <c r="M925" s="1"/>
  <c r="N925" s="1"/>
  <c r="C926"/>
  <c r="U907"/>
  <c r="T908" s="1"/>
  <c r="V907"/>
  <c r="W907" s="1"/>
  <c r="AB907" s="1"/>
  <c r="P924"/>
  <c r="O925" l="1"/>
  <c r="K926"/>
  <c r="M926" s="1"/>
  <c r="N926" s="1"/>
  <c r="X926"/>
  <c r="I926"/>
  <c r="C927"/>
  <c r="P925"/>
  <c r="U908"/>
  <c r="T909" s="1"/>
  <c r="V908"/>
  <c r="W908" s="1"/>
  <c r="AB908" s="1"/>
  <c r="O926" l="1"/>
  <c r="K927"/>
  <c r="M927" s="1"/>
  <c r="N927" s="1"/>
  <c r="X927"/>
  <c r="I927"/>
  <c r="C928"/>
  <c r="P926"/>
  <c r="U909"/>
  <c r="U910" s="1"/>
  <c r="V909"/>
  <c r="W909" s="1"/>
  <c r="AB909" s="1"/>
  <c r="O927" l="1"/>
  <c r="I928"/>
  <c r="X928"/>
  <c r="K928"/>
  <c r="M928" s="1"/>
  <c r="N928" s="1"/>
  <c r="C929"/>
  <c r="P927"/>
  <c r="O928" l="1"/>
  <c r="I929"/>
  <c r="X929"/>
  <c r="K929"/>
  <c r="M929" s="1"/>
  <c r="N929" s="1"/>
  <c r="P928"/>
  <c r="O929" l="1"/>
  <c r="N930"/>
  <c r="N931" s="1"/>
  <c r="P929"/>
  <c r="P931" s="1"/>
  <c r="AE931" l="1"/>
  <c r="AE930" s="1"/>
  <c r="AE929" s="1"/>
  <c r="AE928" s="1"/>
  <c r="AE927" s="1"/>
  <c r="AE926" s="1"/>
  <c r="AE925" s="1"/>
  <c r="AE924" s="1"/>
  <c r="AE923" s="1"/>
  <c r="AE922" s="1"/>
  <c r="AE921" s="1"/>
  <c r="AE920" s="1"/>
  <c r="Y930"/>
  <c r="Y929" s="1"/>
  <c r="AD929" s="1"/>
  <c r="AC920"/>
  <c r="AC921" s="1"/>
  <c r="AC922" s="1"/>
  <c r="AC923" s="1"/>
  <c r="AC924" s="1"/>
  <c r="AC925" s="1"/>
  <c r="AC926" s="1"/>
  <c r="AC927" s="1"/>
  <c r="AC928" s="1"/>
  <c r="AC929" s="1"/>
  <c r="R929"/>
  <c r="S929"/>
  <c r="Q928" l="1"/>
  <c r="E929"/>
  <c r="D929" s="1"/>
  <c r="Y928"/>
  <c r="AD928" s="1"/>
  <c r="Z929"/>
  <c r="Y927" l="1"/>
  <c r="AD927" s="1"/>
  <c r="Z928"/>
  <c r="R928"/>
  <c r="S928"/>
  <c r="G929"/>
  <c r="H929"/>
  <c r="Q927" l="1"/>
  <c r="E928"/>
  <c r="D928" s="1"/>
  <c r="Y926"/>
  <c r="AD926" s="1"/>
  <c r="Z927"/>
  <c r="Y925" l="1"/>
  <c r="AD925" s="1"/>
  <c r="Z926"/>
  <c r="R927"/>
  <c r="S927"/>
  <c r="G928"/>
  <c r="H928"/>
  <c r="Q926" l="1"/>
  <c r="E927"/>
  <c r="D927" s="1"/>
  <c r="Y924"/>
  <c r="AD924" s="1"/>
  <c r="Z925"/>
  <c r="Y923" l="1"/>
  <c r="AD923" s="1"/>
  <c r="Z924"/>
  <c r="R926"/>
  <c r="S926"/>
  <c r="G927"/>
  <c r="H927"/>
  <c r="Q925" l="1"/>
  <c r="E926"/>
  <c r="D926" s="1"/>
  <c r="Y922"/>
  <c r="AD922" s="1"/>
  <c r="Z923"/>
  <c r="Y921" l="1"/>
  <c r="AD921" s="1"/>
  <c r="Z922"/>
  <c r="R925"/>
  <c r="S925"/>
  <c r="G926"/>
  <c r="H926"/>
  <c r="Q924" l="1"/>
  <c r="E925"/>
  <c r="D925" s="1"/>
  <c r="Y920"/>
  <c r="AD920" s="1"/>
  <c r="Z921"/>
  <c r="Z920" l="1"/>
  <c r="R924"/>
  <c r="S924"/>
  <c r="G925"/>
  <c r="H925"/>
  <c r="Q923" l="1"/>
  <c r="E924"/>
  <c r="D924" s="1"/>
  <c r="R923" l="1"/>
  <c r="S923"/>
  <c r="G924"/>
  <c r="H924"/>
  <c r="Q922" l="1"/>
  <c r="E923"/>
  <c r="D923" s="1"/>
  <c r="G923" l="1"/>
  <c r="H923"/>
  <c r="R922"/>
  <c r="S922"/>
  <c r="Q921" l="1"/>
  <c r="E922"/>
  <c r="D922" s="1"/>
  <c r="R921" l="1"/>
  <c r="S921"/>
  <c r="G922"/>
  <c r="H922"/>
  <c r="Q920" l="1"/>
  <c r="E921"/>
  <c r="D921" s="1"/>
  <c r="G921" l="1"/>
  <c r="H921"/>
  <c r="R920"/>
  <c r="E920" s="1"/>
  <c r="D920" s="1"/>
  <c r="S920"/>
  <c r="G920" l="1"/>
  <c r="H920"/>
  <c r="T920" s="1"/>
  <c r="U920" l="1"/>
  <c r="T921" s="1"/>
  <c r="V920"/>
  <c r="W920" s="1"/>
  <c r="AB920" s="1"/>
  <c r="C940" l="1"/>
  <c r="U921"/>
  <c r="T922" s="1"/>
  <c r="V921"/>
  <c r="W921" s="1"/>
  <c r="AB921" s="1"/>
  <c r="K940" l="1"/>
  <c r="M940" s="1"/>
  <c r="N940" s="1"/>
  <c r="I940"/>
  <c r="X940"/>
  <c r="C941"/>
  <c r="U922"/>
  <c r="T923" s="1"/>
  <c r="V922"/>
  <c r="W922" s="1"/>
  <c r="AB922" s="1"/>
  <c r="O940" l="1"/>
  <c r="X941"/>
  <c r="I941"/>
  <c r="K941"/>
  <c r="M941" s="1"/>
  <c r="N941" s="1"/>
  <c r="C942"/>
  <c r="P940"/>
  <c r="U923"/>
  <c r="T924" s="1"/>
  <c r="V923"/>
  <c r="W923" s="1"/>
  <c r="AB923" s="1"/>
  <c r="O941" l="1"/>
  <c r="X942"/>
  <c r="K942"/>
  <c r="M942" s="1"/>
  <c r="N942" s="1"/>
  <c r="I942"/>
  <c r="C943"/>
  <c r="P941"/>
  <c r="U924"/>
  <c r="T925" s="1"/>
  <c r="V924"/>
  <c r="W924" s="1"/>
  <c r="AB924" s="1"/>
  <c r="O942" l="1"/>
  <c r="K943"/>
  <c r="M943" s="1"/>
  <c r="N943" s="1"/>
  <c r="X943"/>
  <c r="I943"/>
  <c r="C944"/>
  <c r="U925"/>
  <c r="T926" s="1"/>
  <c r="V925"/>
  <c r="W925" s="1"/>
  <c r="AB925" s="1"/>
  <c r="P942"/>
  <c r="O943" l="1"/>
  <c r="X944"/>
  <c r="I944"/>
  <c r="K944"/>
  <c r="M944" s="1"/>
  <c r="N944" s="1"/>
  <c r="C945"/>
  <c r="P943"/>
  <c r="U926"/>
  <c r="T927" s="1"/>
  <c r="V926"/>
  <c r="W926" s="1"/>
  <c r="AB926" s="1"/>
  <c r="O944" l="1"/>
  <c r="K945"/>
  <c r="M945" s="1"/>
  <c r="N945" s="1"/>
  <c r="X945"/>
  <c r="I945"/>
  <c r="C946"/>
  <c r="P944"/>
  <c r="U927"/>
  <c r="T928" s="1"/>
  <c r="V927"/>
  <c r="W927" s="1"/>
  <c r="AB927" s="1"/>
  <c r="O945" l="1"/>
  <c r="X946"/>
  <c r="I946"/>
  <c r="K946"/>
  <c r="M946" s="1"/>
  <c r="N946" s="1"/>
  <c r="C947"/>
  <c r="U928"/>
  <c r="T929" s="1"/>
  <c r="V928"/>
  <c r="W928" s="1"/>
  <c r="AB928" s="1"/>
  <c r="P945"/>
  <c r="O946" l="1"/>
  <c r="X947"/>
  <c r="K947"/>
  <c r="M947" s="1"/>
  <c r="N947" s="1"/>
  <c r="I947"/>
  <c r="C948"/>
  <c r="P946"/>
  <c r="U929"/>
  <c r="U930" s="1"/>
  <c r="V929"/>
  <c r="W929" s="1"/>
  <c r="AB929" s="1"/>
  <c r="O947" l="1"/>
  <c r="K948"/>
  <c r="M948" s="1"/>
  <c r="N948" s="1"/>
  <c r="X948"/>
  <c r="I948"/>
  <c r="C949"/>
  <c r="P947"/>
  <c r="O948" l="1"/>
  <c r="X949"/>
  <c r="I949"/>
  <c r="K949"/>
  <c r="M949" s="1"/>
  <c r="N949" s="1"/>
  <c r="P948"/>
  <c r="O949" l="1"/>
  <c r="N950"/>
  <c r="N951" s="1"/>
  <c r="P949"/>
  <c r="P951" s="1"/>
  <c r="R949" l="1"/>
  <c r="S949"/>
  <c r="Y950"/>
  <c r="Y949" s="1"/>
  <c r="AD949" s="1"/>
  <c r="AE951"/>
  <c r="AE950" s="1"/>
  <c r="AE949" s="1"/>
  <c r="AE948" s="1"/>
  <c r="AE947" s="1"/>
  <c r="AE946" s="1"/>
  <c r="AE945" s="1"/>
  <c r="AE944" s="1"/>
  <c r="AE943" s="1"/>
  <c r="AE942" s="1"/>
  <c r="AE941" s="1"/>
  <c r="AE940" s="1"/>
  <c r="AC940"/>
  <c r="AC941" s="1"/>
  <c r="AC942" s="1"/>
  <c r="AC943" s="1"/>
  <c r="AC944" s="1"/>
  <c r="AC945" s="1"/>
  <c r="AC946" s="1"/>
  <c r="AC947" s="1"/>
  <c r="AC948" s="1"/>
  <c r="AC949" s="1"/>
  <c r="E949" l="1"/>
  <c r="D949" s="1"/>
  <c r="Q948"/>
  <c r="Z949"/>
  <c r="Y948"/>
  <c r="AD948" s="1"/>
  <c r="H949" l="1"/>
  <c r="G949"/>
  <c r="Z948"/>
  <c r="Y947"/>
  <c r="AD947" s="1"/>
  <c r="R948"/>
  <c r="S948"/>
  <c r="Z947" l="1"/>
  <c r="Y946"/>
  <c r="AD946" s="1"/>
  <c r="E948"/>
  <c r="D948" s="1"/>
  <c r="Q947"/>
  <c r="R947" l="1"/>
  <c r="S947"/>
  <c r="H948"/>
  <c r="G948"/>
  <c r="Z946"/>
  <c r="Y945"/>
  <c r="AD945" s="1"/>
  <c r="E947" l="1"/>
  <c r="D947" s="1"/>
  <c r="Q946"/>
  <c r="Z945"/>
  <c r="Y944"/>
  <c r="AD944" s="1"/>
  <c r="Z944" l="1"/>
  <c r="Y943"/>
  <c r="AD943" s="1"/>
  <c r="H947"/>
  <c r="G947"/>
  <c r="R946"/>
  <c r="S946"/>
  <c r="E946" l="1"/>
  <c r="D946" s="1"/>
  <c r="Q945"/>
  <c r="Z943"/>
  <c r="Y942"/>
  <c r="AD942" s="1"/>
  <c r="Z942" l="1"/>
  <c r="Y941"/>
  <c r="AD941" s="1"/>
  <c r="H946"/>
  <c r="G946"/>
  <c r="R945"/>
  <c r="S945"/>
  <c r="E945" l="1"/>
  <c r="D945" s="1"/>
  <c r="Q944"/>
  <c r="Z941"/>
  <c r="Y940"/>
  <c r="AD940" s="1"/>
  <c r="Z940" l="1"/>
  <c r="H945"/>
  <c r="G945"/>
  <c r="R944"/>
  <c r="S944"/>
  <c r="E944" l="1"/>
  <c r="D944" s="1"/>
  <c r="Q943"/>
  <c r="H944" l="1"/>
  <c r="G944"/>
  <c r="R943"/>
  <c r="S943"/>
  <c r="E943" l="1"/>
  <c r="D943" s="1"/>
  <c r="Q942"/>
  <c r="H943" l="1"/>
  <c r="G943"/>
  <c r="R942"/>
  <c r="S942"/>
  <c r="E942" l="1"/>
  <c r="D942" s="1"/>
  <c r="Q941"/>
  <c r="H942" l="1"/>
  <c r="G942"/>
  <c r="R941"/>
  <c r="S941"/>
  <c r="E941" l="1"/>
  <c r="D941" s="1"/>
  <c r="Q940"/>
  <c r="H941" l="1"/>
  <c r="G941"/>
  <c r="R940"/>
  <c r="E940" s="1"/>
  <c r="D940" s="1"/>
  <c r="S940"/>
  <c r="H940" l="1"/>
  <c r="T940" s="1"/>
  <c r="G940"/>
  <c r="U940" l="1"/>
  <c r="T941" s="1"/>
  <c r="V940"/>
  <c r="W940" s="1"/>
  <c r="AB940" s="1"/>
  <c r="C960" l="1"/>
  <c r="U941"/>
  <c r="T942" s="1"/>
  <c r="V941"/>
  <c r="W941" s="1"/>
  <c r="AB941" s="1"/>
  <c r="X960" l="1"/>
  <c r="K960"/>
  <c r="M960" s="1"/>
  <c r="N960" s="1"/>
  <c r="I960"/>
  <c r="C961"/>
  <c r="U942"/>
  <c r="T943" s="1"/>
  <c r="V942"/>
  <c r="W942" s="1"/>
  <c r="AB942" s="1"/>
  <c r="O960" l="1"/>
  <c r="I961"/>
  <c r="X961"/>
  <c r="K961"/>
  <c r="M961" s="1"/>
  <c r="N961" s="1"/>
  <c r="U943"/>
  <c r="T944" s="1"/>
  <c r="V943"/>
  <c r="W943" s="1"/>
  <c r="AB943" s="1"/>
  <c r="P960"/>
  <c r="O961" l="1"/>
  <c r="C962"/>
  <c r="I962" s="1"/>
  <c r="C963"/>
  <c r="P961"/>
  <c r="U944"/>
  <c r="T945" s="1"/>
  <c r="V944"/>
  <c r="W944" s="1"/>
  <c r="AB944" s="1"/>
  <c r="X962" l="1"/>
  <c r="K962"/>
  <c r="M962" s="1"/>
  <c r="N962" s="1"/>
  <c r="I963"/>
  <c r="X963"/>
  <c r="C964"/>
  <c r="U945"/>
  <c r="T946" s="1"/>
  <c r="V945"/>
  <c r="W945" s="1"/>
  <c r="AB945" s="1"/>
  <c r="O962" l="1"/>
  <c r="K963"/>
  <c r="M963" s="1"/>
  <c r="N963" s="1"/>
  <c r="P962"/>
  <c r="I964"/>
  <c r="X964"/>
  <c r="C965"/>
  <c r="U946"/>
  <c r="T947" s="1"/>
  <c r="V946"/>
  <c r="W946" s="1"/>
  <c r="AB946" s="1"/>
  <c r="O963" l="1"/>
  <c r="P963"/>
  <c r="K964"/>
  <c r="M964" s="1"/>
  <c r="N964" s="1"/>
  <c r="I965"/>
  <c r="X965"/>
  <c r="C966"/>
  <c r="U947"/>
  <c r="T948" s="1"/>
  <c r="V947"/>
  <c r="W947" s="1"/>
  <c r="AB947" s="1"/>
  <c r="O964" l="1"/>
  <c r="K965"/>
  <c r="M965" s="1"/>
  <c r="N965" s="1"/>
  <c r="P964"/>
  <c r="I966"/>
  <c r="X966"/>
  <c r="C967"/>
  <c r="U948"/>
  <c r="T949" s="1"/>
  <c r="V948"/>
  <c r="W948" s="1"/>
  <c r="AB948" s="1"/>
  <c r="O965" l="1"/>
  <c r="P965"/>
  <c r="K966"/>
  <c r="M966" s="1"/>
  <c r="N966" s="1"/>
  <c r="I967"/>
  <c r="X967"/>
  <c r="C968"/>
  <c r="U949"/>
  <c r="U950" s="1"/>
  <c r="V949"/>
  <c r="W949" s="1"/>
  <c r="AB949" s="1"/>
  <c r="O966" l="1"/>
  <c r="K967"/>
  <c r="M967" s="1"/>
  <c r="N967" s="1"/>
  <c r="P966"/>
  <c r="I968"/>
  <c r="X968"/>
  <c r="C969"/>
  <c r="O967" l="1"/>
  <c r="P967"/>
  <c r="K968"/>
  <c r="M968" s="1"/>
  <c r="N968" s="1"/>
  <c r="I969"/>
  <c r="X969"/>
  <c r="O968" l="1"/>
  <c r="P968"/>
  <c r="K969"/>
  <c r="M969" s="1"/>
  <c r="N969" s="1"/>
  <c r="O969" l="1"/>
  <c r="S969" s="1"/>
  <c r="N970"/>
  <c r="N971" s="1"/>
  <c r="Y970" s="1"/>
  <c r="Y969" s="1"/>
  <c r="AD969" s="1"/>
  <c r="P969"/>
  <c r="P971" s="1"/>
  <c r="R969" l="1"/>
  <c r="Q968" s="1"/>
  <c r="AC960"/>
  <c r="AC961" s="1"/>
  <c r="AC962" s="1"/>
  <c r="AC963" s="1"/>
  <c r="AC964" s="1"/>
  <c r="AC965" s="1"/>
  <c r="AC966" s="1"/>
  <c r="AC967" s="1"/>
  <c r="AC968" s="1"/>
  <c r="AC969" s="1"/>
  <c r="AE971"/>
  <c r="AE970" s="1"/>
  <c r="AE969" s="1"/>
  <c r="AE968" s="1"/>
  <c r="AE967" s="1"/>
  <c r="AE966" s="1"/>
  <c r="AE965" s="1"/>
  <c r="AE964" s="1"/>
  <c r="AE963" s="1"/>
  <c r="AE962" s="1"/>
  <c r="AE961" s="1"/>
  <c r="AE960" s="1"/>
  <c r="Y968"/>
  <c r="AD968" s="1"/>
  <c r="Z969"/>
  <c r="E969" l="1"/>
  <c r="D969" s="1"/>
  <c r="G969" s="1"/>
  <c r="Y967"/>
  <c r="AD967" s="1"/>
  <c r="Z968"/>
  <c r="R968"/>
  <c r="S968"/>
  <c r="H969" l="1"/>
  <c r="Q967"/>
  <c r="E968"/>
  <c r="D968" s="1"/>
  <c r="Y966"/>
  <c r="AD966" s="1"/>
  <c r="Z967"/>
  <c r="Y965" l="1"/>
  <c r="AD965" s="1"/>
  <c r="Z966"/>
  <c r="R967"/>
  <c r="S967"/>
  <c r="G968"/>
  <c r="H968"/>
  <c r="Q966" l="1"/>
  <c r="E967"/>
  <c r="D967" s="1"/>
  <c r="Y964"/>
  <c r="AD964" s="1"/>
  <c r="Z965"/>
  <c r="Y963" l="1"/>
  <c r="AD963" s="1"/>
  <c r="Z964"/>
  <c r="R966"/>
  <c r="S966"/>
  <c r="G967"/>
  <c r="H967"/>
  <c r="Q965" l="1"/>
  <c r="E966"/>
  <c r="D966" s="1"/>
  <c r="Y962"/>
  <c r="AD962" s="1"/>
  <c r="Z963"/>
  <c r="Y961" l="1"/>
  <c r="AD961" s="1"/>
  <c r="Z962"/>
  <c r="R965"/>
  <c r="S965"/>
  <c r="G966"/>
  <c r="H966"/>
  <c r="Q964" l="1"/>
  <c r="E965"/>
  <c r="D965" s="1"/>
  <c r="Y960"/>
  <c r="AD960" s="1"/>
  <c r="Z961"/>
  <c r="Z960" l="1"/>
  <c r="R964"/>
  <c r="S964"/>
  <c r="G965"/>
  <c r="H965"/>
  <c r="Q963" l="1"/>
  <c r="E964"/>
  <c r="D964" s="1"/>
  <c r="G964" l="1"/>
  <c r="H964"/>
  <c r="R963"/>
  <c r="S963"/>
  <c r="Q962" l="1"/>
  <c r="E963"/>
  <c r="D963" s="1"/>
  <c r="G963" l="1"/>
  <c r="H963"/>
  <c r="R962"/>
  <c r="S962"/>
  <c r="Q961" l="1"/>
  <c r="E962"/>
  <c r="D962" s="1"/>
  <c r="G962" l="1"/>
  <c r="H962"/>
  <c r="R961"/>
  <c r="S961"/>
  <c r="Q960" l="1"/>
  <c r="E961"/>
  <c r="D961" s="1"/>
  <c r="G961" l="1"/>
  <c r="H961"/>
  <c r="R960"/>
  <c r="E960" s="1"/>
  <c r="D960" s="1"/>
  <c r="S960"/>
  <c r="G960" l="1"/>
  <c r="H960"/>
  <c r="T960" s="1"/>
  <c r="U960" l="1"/>
  <c r="T961" s="1"/>
  <c r="V960"/>
  <c r="W960" s="1"/>
  <c r="AB960" s="1"/>
  <c r="C980" l="1"/>
  <c r="U961"/>
  <c r="T962" s="1"/>
  <c r="V961"/>
  <c r="W961" s="1"/>
  <c r="AB961" s="1"/>
  <c r="X980" l="1"/>
  <c r="I980"/>
  <c r="I81" s="1"/>
  <c r="I26" s="1"/>
  <c r="C81"/>
  <c r="C26" s="1"/>
  <c r="K980"/>
  <c r="K81" s="1"/>
  <c r="K26" s="1"/>
  <c r="C981"/>
  <c r="U962"/>
  <c r="T963" s="1"/>
  <c r="V962"/>
  <c r="W962" s="1"/>
  <c r="AB962" s="1"/>
  <c r="X81" l="1"/>
  <c r="X26" s="1"/>
  <c r="AL20" s="1"/>
  <c r="M980"/>
  <c r="N980" s="1"/>
  <c r="C82"/>
  <c r="C27" s="1"/>
  <c r="K981"/>
  <c r="K82" s="1"/>
  <c r="K27" s="1"/>
  <c r="X981"/>
  <c r="I981"/>
  <c r="I82" s="1"/>
  <c r="I27" s="1"/>
  <c r="C982"/>
  <c r="U963"/>
  <c r="T964" s="1"/>
  <c r="V963"/>
  <c r="W963" s="1"/>
  <c r="AB963" s="1"/>
  <c r="AE20" l="1"/>
  <c r="X82"/>
  <c r="X27" s="1"/>
  <c r="AE21" s="1"/>
  <c r="M81"/>
  <c r="M26" s="1"/>
  <c r="AE66" s="1"/>
  <c r="O980"/>
  <c r="O81" s="1"/>
  <c r="O26" s="1"/>
  <c r="M981"/>
  <c r="N981" s="1"/>
  <c r="N81"/>
  <c r="AD81" s="1"/>
  <c r="P980"/>
  <c r="P81" s="1"/>
  <c r="P26" s="1"/>
  <c r="X982"/>
  <c r="C83"/>
  <c r="C28" s="1"/>
  <c r="K982"/>
  <c r="K83" s="1"/>
  <c r="K28" s="1"/>
  <c r="C983"/>
  <c r="I982"/>
  <c r="I83" s="1"/>
  <c r="I28" s="1"/>
  <c r="U964"/>
  <c r="T965" s="1"/>
  <c r="V964"/>
  <c r="W964" s="1"/>
  <c r="AB964" s="1"/>
  <c r="AL21" l="1"/>
  <c r="X83"/>
  <c r="X28" s="1"/>
  <c r="AE22" s="1"/>
  <c r="O981"/>
  <c r="O82" s="1"/>
  <c r="O27" s="1"/>
  <c r="N26"/>
  <c r="P981"/>
  <c r="P82" s="1"/>
  <c r="P27" s="1"/>
  <c r="M982"/>
  <c r="N982" s="1"/>
  <c r="N82"/>
  <c r="N27" s="1"/>
  <c r="M82"/>
  <c r="M27" s="1"/>
  <c r="AE67" s="1"/>
  <c r="K983"/>
  <c r="M983" s="1"/>
  <c r="N983" s="1"/>
  <c r="X983"/>
  <c r="I983"/>
  <c r="I84" s="1"/>
  <c r="I29" s="1"/>
  <c r="C84"/>
  <c r="C29" s="1"/>
  <c r="C984"/>
  <c r="U965"/>
  <c r="T966" s="1"/>
  <c r="V965"/>
  <c r="W965" s="1"/>
  <c r="AB965" s="1"/>
  <c r="AL22" l="1"/>
  <c r="X84"/>
  <c r="X29" s="1"/>
  <c r="AE23" s="1"/>
  <c r="O982"/>
  <c r="O83" s="1"/>
  <c r="O28" s="1"/>
  <c r="N83"/>
  <c r="N28" s="1"/>
  <c r="O983"/>
  <c r="AD82"/>
  <c r="M83"/>
  <c r="M28" s="1"/>
  <c r="AE68" s="1"/>
  <c r="P982"/>
  <c r="P83" s="1"/>
  <c r="P28" s="1"/>
  <c r="K84"/>
  <c r="K29" s="1"/>
  <c r="X984"/>
  <c r="C85"/>
  <c r="C30" s="1"/>
  <c r="C985"/>
  <c r="K984"/>
  <c r="M984" s="1"/>
  <c r="N984" s="1"/>
  <c r="I984"/>
  <c r="I85" s="1"/>
  <c r="I30" s="1"/>
  <c r="M84"/>
  <c r="M29" s="1"/>
  <c r="AE69" s="1"/>
  <c r="P983"/>
  <c r="P84" s="1"/>
  <c r="P29" s="1"/>
  <c r="N84"/>
  <c r="N29" s="1"/>
  <c r="U966"/>
  <c r="T967" s="1"/>
  <c r="V966"/>
  <c r="W966" s="1"/>
  <c r="AB966" s="1"/>
  <c r="AL23" l="1"/>
  <c r="X85"/>
  <c r="X30" s="1"/>
  <c r="AE24" s="1"/>
  <c r="O984"/>
  <c r="AD83"/>
  <c r="AD84" s="1"/>
  <c r="K85"/>
  <c r="K30" s="1"/>
  <c r="K985"/>
  <c r="K86" s="1"/>
  <c r="K31" s="1"/>
  <c r="X985"/>
  <c r="I985"/>
  <c r="I86" s="1"/>
  <c r="I31" s="1"/>
  <c r="C86"/>
  <c r="C31" s="1"/>
  <c r="C986"/>
  <c r="U967"/>
  <c r="T968" s="1"/>
  <c r="V967"/>
  <c r="W967" s="1"/>
  <c r="AB967" s="1"/>
  <c r="O84"/>
  <c r="O29" s="1"/>
  <c r="M85"/>
  <c r="M30" s="1"/>
  <c r="AE70" s="1"/>
  <c r="P984"/>
  <c r="AL24" l="1"/>
  <c r="X86"/>
  <c r="X31" s="1"/>
  <c r="AE25" s="1"/>
  <c r="M985"/>
  <c r="N985" s="1"/>
  <c r="K986"/>
  <c r="M986" s="1"/>
  <c r="N986" s="1"/>
  <c r="C87"/>
  <c r="C32" s="1"/>
  <c r="X986"/>
  <c r="I986"/>
  <c r="I87" s="1"/>
  <c r="I32" s="1"/>
  <c r="C987"/>
  <c r="N85"/>
  <c r="N30" s="1"/>
  <c r="P85"/>
  <c r="P30" s="1"/>
  <c r="O85"/>
  <c r="O30" s="1"/>
  <c r="U968"/>
  <c r="T969" s="1"/>
  <c r="V968"/>
  <c r="W968" s="1"/>
  <c r="AB968" s="1"/>
  <c r="AL25" l="1"/>
  <c r="X87"/>
  <c r="X32" s="1"/>
  <c r="AL26" s="1"/>
  <c r="O985"/>
  <c r="O86" s="1"/>
  <c r="O31" s="1"/>
  <c r="O986"/>
  <c r="N87"/>
  <c r="N32" s="1"/>
  <c r="AD85"/>
  <c r="K87"/>
  <c r="K32" s="1"/>
  <c r="M86"/>
  <c r="M31" s="1"/>
  <c r="AE71" s="1"/>
  <c r="N86"/>
  <c r="N31" s="1"/>
  <c r="P985"/>
  <c r="P86" s="1"/>
  <c r="P31" s="1"/>
  <c r="C88"/>
  <c r="C33" s="1"/>
  <c r="K987"/>
  <c r="K88" s="1"/>
  <c r="K33" s="1"/>
  <c r="X987"/>
  <c r="I987"/>
  <c r="I88" s="1"/>
  <c r="I33" s="1"/>
  <c r="C988"/>
  <c r="U969"/>
  <c r="U970" s="1"/>
  <c r="V969"/>
  <c r="W969" s="1"/>
  <c r="AB969" s="1"/>
  <c r="M87"/>
  <c r="M32" s="1"/>
  <c r="AE72" s="1"/>
  <c r="P986"/>
  <c r="P87" s="1"/>
  <c r="P32" s="1"/>
  <c r="AE26" l="1"/>
  <c r="X88"/>
  <c r="X33" s="1"/>
  <c r="AE27" s="1"/>
  <c r="AD86"/>
  <c r="AD87" s="1"/>
  <c r="M987"/>
  <c r="N987" s="1"/>
  <c r="X988"/>
  <c r="I988"/>
  <c r="I89" s="1"/>
  <c r="I34" s="1"/>
  <c r="C89"/>
  <c r="C34" s="1"/>
  <c r="K988"/>
  <c r="K89" s="1"/>
  <c r="K34" s="1"/>
  <c r="C989"/>
  <c r="O87"/>
  <c r="O32" s="1"/>
  <c r="AL27" l="1"/>
  <c r="X89"/>
  <c r="X34" s="1"/>
  <c r="AL28" s="1"/>
  <c r="O987"/>
  <c r="O88" s="1"/>
  <c r="O33" s="1"/>
  <c r="N88"/>
  <c r="N33" s="1"/>
  <c r="M88"/>
  <c r="M33" s="1"/>
  <c r="AE73" s="1"/>
  <c r="P987"/>
  <c r="P88" s="1"/>
  <c r="P33" s="1"/>
  <c r="M988"/>
  <c r="N988" s="1"/>
  <c r="K989"/>
  <c r="K90" s="1"/>
  <c r="K35" s="1"/>
  <c r="C90"/>
  <c r="C35" s="1"/>
  <c r="X989"/>
  <c r="I989"/>
  <c r="I90" s="1"/>
  <c r="I35" s="1"/>
  <c r="AE28" l="1"/>
  <c r="X90"/>
  <c r="X35" s="1"/>
  <c r="AL29" s="1"/>
  <c r="P988"/>
  <c r="P89" s="1"/>
  <c r="P34" s="1"/>
  <c r="O988"/>
  <c r="O89" s="1"/>
  <c r="O34" s="1"/>
  <c r="AD88"/>
  <c r="M89"/>
  <c r="M34" s="1"/>
  <c r="AE74" s="1"/>
  <c r="N89"/>
  <c r="N34" s="1"/>
  <c r="M989"/>
  <c r="N989" s="1"/>
  <c r="R38" l="1"/>
  <c r="X36"/>
  <c r="AE7" s="1"/>
  <c r="AE29"/>
  <c r="M90"/>
  <c r="M35" s="1"/>
  <c r="AE75" s="1"/>
  <c r="O989"/>
  <c r="O90" s="1"/>
  <c r="O35" s="1"/>
  <c r="AD89"/>
  <c r="N90"/>
  <c r="N35" s="1"/>
  <c r="P989"/>
  <c r="P991" s="1"/>
  <c r="AD90" l="1"/>
  <c r="P90"/>
  <c r="N990"/>
  <c r="N91" s="1"/>
  <c r="R989"/>
  <c r="E989" s="1"/>
  <c r="D989" s="1"/>
  <c r="D90" s="1"/>
  <c r="D35" s="1"/>
  <c r="S989"/>
  <c r="S90" s="1"/>
  <c r="S35" s="1"/>
  <c r="P92" l="1"/>
  <c r="M38" s="1"/>
  <c r="P35"/>
  <c r="R90"/>
  <c r="R35" s="1"/>
  <c r="AI35" s="1"/>
  <c r="Q988"/>
  <c r="R988" s="1"/>
  <c r="N991"/>
  <c r="M37" s="1"/>
  <c r="E90"/>
  <c r="E35" s="1"/>
  <c r="H989"/>
  <c r="H90" s="1"/>
  <c r="H35" s="1"/>
  <c r="AE64" s="1"/>
  <c r="G989"/>
  <c r="AL64" l="1"/>
  <c r="AE4"/>
  <c r="AB38"/>
  <c r="AE40"/>
  <c r="AL40" s="1"/>
  <c r="AH35"/>
  <c r="Q89"/>
  <c r="Q34" s="1"/>
  <c r="S988"/>
  <c r="S89" s="1"/>
  <c r="S34" s="1"/>
  <c r="AC980"/>
  <c r="AC981" s="1"/>
  <c r="AC982" s="1"/>
  <c r="AC983" s="1"/>
  <c r="AC984" s="1"/>
  <c r="AC985" s="1"/>
  <c r="AC986" s="1"/>
  <c r="AC987" s="1"/>
  <c r="AC988" s="1"/>
  <c r="AC989" s="1"/>
  <c r="Y990"/>
  <c r="Y989" s="1"/>
  <c r="AD989" s="1"/>
  <c r="AE991"/>
  <c r="AE990" s="1"/>
  <c r="AE989" s="1"/>
  <c r="AE988" s="1"/>
  <c r="AE987" s="1"/>
  <c r="AE986" s="1"/>
  <c r="AE985" s="1"/>
  <c r="AE984" s="1"/>
  <c r="AE983" s="1"/>
  <c r="AE982" s="1"/>
  <c r="AE981" s="1"/>
  <c r="AE980" s="1"/>
  <c r="G90"/>
  <c r="R89"/>
  <c r="R34" s="1"/>
  <c r="E988"/>
  <c r="D988" s="1"/>
  <c r="D89" s="1"/>
  <c r="D34" s="1"/>
  <c r="Q987"/>
  <c r="AI34" l="1"/>
  <c r="G35"/>
  <c r="Y91"/>
  <c r="E89"/>
  <c r="E34" s="1"/>
  <c r="H988"/>
  <c r="H89" s="1"/>
  <c r="H34" s="1"/>
  <c r="AE63" s="1"/>
  <c r="G988"/>
  <c r="Y90"/>
  <c r="Y35" s="1"/>
  <c r="AE86" s="1"/>
  <c r="Z989"/>
  <c r="Y988"/>
  <c r="AD988" s="1"/>
  <c r="Q88"/>
  <c r="Q33" s="1"/>
  <c r="R987"/>
  <c r="S987"/>
  <c r="S88" s="1"/>
  <c r="S33" s="1"/>
  <c r="AL63" l="1"/>
  <c r="AE39"/>
  <c r="AL39" s="1"/>
  <c r="AH34"/>
  <c r="AC90"/>
  <c r="AC35" s="1"/>
  <c r="Z90"/>
  <c r="Z35" s="1"/>
  <c r="AB90"/>
  <c r="AB35" s="1"/>
  <c r="G89"/>
  <c r="R88"/>
  <c r="R33" s="1"/>
  <c r="AI33" s="1"/>
  <c r="E987"/>
  <c r="D987" s="1"/>
  <c r="D88" s="1"/>
  <c r="D33" s="1"/>
  <c r="Q986"/>
  <c r="Y89"/>
  <c r="Y34" s="1"/>
  <c r="AE85" s="1"/>
  <c r="Z988"/>
  <c r="Y987"/>
  <c r="AD987" s="1"/>
  <c r="AE18" l="1"/>
  <c r="AD35"/>
  <c r="G34"/>
  <c r="Z89"/>
  <c r="Z34" s="1"/>
  <c r="AC89"/>
  <c r="AC34" s="1"/>
  <c r="AB89"/>
  <c r="AB34" s="1"/>
  <c r="Y88"/>
  <c r="Y33" s="1"/>
  <c r="AE84" s="1"/>
  <c r="Z987"/>
  <c r="Y986"/>
  <c r="AD986" s="1"/>
  <c r="E88"/>
  <c r="E33" s="1"/>
  <c r="H987"/>
  <c r="H88" s="1"/>
  <c r="H33" s="1"/>
  <c r="AE62" s="1"/>
  <c r="G987"/>
  <c r="Q87"/>
  <c r="Q32" s="1"/>
  <c r="R986"/>
  <c r="S986"/>
  <c r="S87" s="1"/>
  <c r="S32" s="1"/>
  <c r="AE17" l="1"/>
  <c r="AD34"/>
  <c r="AL62"/>
  <c r="AE38"/>
  <c r="AL38" s="1"/>
  <c r="AH33"/>
  <c r="AC88"/>
  <c r="AC33" s="1"/>
  <c r="Z88"/>
  <c r="Z33" s="1"/>
  <c r="AB88"/>
  <c r="AB33" s="1"/>
  <c r="R87"/>
  <c r="R32" s="1"/>
  <c r="AI32" s="1"/>
  <c r="E986"/>
  <c r="D986" s="1"/>
  <c r="D87" s="1"/>
  <c r="D32" s="1"/>
  <c r="Q985"/>
  <c r="Y87"/>
  <c r="Y32" s="1"/>
  <c r="AE83" s="1"/>
  <c r="Z986"/>
  <c r="Y985"/>
  <c r="AD985" s="1"/>
  <c r="G88"/>
  <c r="AE16" l="1"/>
  <c r="AD33"/>
  <c r="G33"/>
  <c r="Z87"/>
  <c r="Z32" s="1"/>
  <c r="AC87"/>
  <c r="AC32" s="1"/>
  <c r="AB87"/>
  <c r="AB32" s="1"/>
  <c r="Y86"/>
  <c r="Y31" s="1"/>
  <c r="AE82" s="1"/>
  <c r="Z985"/>
  <c r="Y984"/>
  <c r="AD984" s="1"/>
  <c r="Q86"/>
  <c r="Q31" s="1"/>
  <c r="R985"/>
  <c r="S985"/>
  <c r="S86" s="1"/>
  <c r="S31" s="1"/>
  <c r="E87"/>
  <c r="E32" s="1"/>
  <c r="H986"/>
  <c r="H87" s="1"/>
  <c r="H32" s="1"/>
  <c r="AE61" s="1"/>
  <c r="G986"/>
  <c r="AE15" l="1"/>
  <c r="AD32"/>
  <c r="AL61"/>
  <c r="AE37"/>
  <c r="AL37" s="1"/>
  <c r="AH32"/>
  <c r="AC86"/>
  <c r="AC31" s="1"/>
  <c r="Z86"/>
  <c r="Z31" s="1"/>
  <c r="AB86"/>
  <c r="AB31" s="1"/>
  <c r="G87"/>
  <c r="R86"/>
  <c r="R31" s="1"/>
  <c r="AI31" s="1"/>
  <c r="E985"/>
  <c r="D985" s="1"/>
  <c r="D86" s="1"/>
  <c r="D31" s="1"/>
  <c r="Q984"/>
  <c r="Y85"/>
  <c r="Y30" s="1"/>
  <c r="AE81" s="1"/>
  <c r="Z984"/>
  <c r="Y983"/>
  <c r="AD983" s="1"/>
  <c r="AE14" l="1"/>
  <c r="AD31"/>
  <c r="G32"/>
  <c r="Z85"/>
  <c r="Z30" s="1"/>
  <c r="AC85"/>
  <c r="AC30" s="1"/>
  <c r="AB85"/>
  <c r="AB30" s="1"/>
  <c r="Y84"/>
  <c r="Y29" s="1"/>
  <c r="AE80" s="1"/>
  <c r="Z983"/>
  <c r="Y982"/>
  <c r="AD982" s="1"/>
  <c r="E86"/>
  <c r="E31" s="1"/>
  <c r="H985"/>
  <c r="H86" s="1"/>
  <c r="H31" s="1"/>
  <c r="AE60" s="1"/>
  <c r="G985"/>
  <c r="Q85"/>
  <c r="Q30" s="1"/>
  <c r="R984"/>
  <c r="S984"/>
  <c r="S85" s="1"/>
  <c r="S30" s="1"/>
  <c r="AE13" l="1"/>
  <c r="AD30"/>
  <c r="AL60"/>
  <c r="AE36"/>
  <c r="AL36" s="1"/>
  <c r="AH31"/>
  <c r="AC84"/>
  <c r="AC29" s="1"/>
  <c r="Z84"/>
  <c r="Z29" s="1"/>
  <c r="AB84"/>
  <c r="AB29" s="1"/>
  <c r="R85"/>
  <c r="R30" s="1"/>
  <c r="AI30" s="1"/>
  <c r="E984"/>
  <c r="D984" s="1"/>
  <c r="D85" s="1"/>
  <c r="D30" s="1"/>
  <c r="Q983"/>
  <c r="G86"/>
  <c r="Y83"/>
  <c r="Y28" s="1"/>
  <c r="AE79" s="1"/>
  <c r="Z982"/>
  <c r="Y981"/>
  <c r="AD981" s="1"/>
  <c r="AE12" l="1"/>
  <c r="AD29"/>
  <c r="G31"/>
  <c r="Z83"/>
  <c r="Z28" s="1"/>
  <c r="AC83"/>
  <c r="AC28" s="1"/>
  <c r="AB83"/>
  <c r="AB28" s="1"/>
  <c r="Q84"/>
  <c r="Q29" s="1"/>
  <c r="R983"/>
  <c r="S983"/>
  <c r="S84" s="1"/>
  <c r="S29" s="1"/>
  <c r="Y82"/>
  <c r="Y27" s="1"/>
  <c r="AE78" s="1"/>
  <c r="Z981"/>
  <c r="Y980"/>
  <c r="AD980" s="1"/>
  <c r="E85"/>
  <c r="E30" s="1"/>
  <c r="H984"/>
  <c r="H85" s="1"/>
  <c r="H30" s="1"/>
  <c r="AE59" s="1"/>
  <c r="G984"/>
  <c r="AE11" l="1"/>
  <c r="AD28"/>
  <c r="AL59"/>
  <c r="AE35"/>
  <c r="AL35" s="1"/>
  <c r="AH30"/>
  <c r="AC82"/>
  <c r="AC27" s="1"/>
  <c r="Z82"/>
  <c r="Z27" s="1"/>
  <c r="AB82"/>
  <c r="AB27" s="1"/>
  <c r="G85"/>
  <c r="Y81"/>
  <c r="Y26" s="1"/>
  <c r="AE77" s="1"/>
  <c r="Z980"/>
  <c r="R84"/>
  <c r="R29" s="1"/>
  <c r="AI29" s="1"/>
  <c r="E983"/>
  <c r="D983" s="1"/>
  <c r="D84" s="1"/>
  <c r="D29" s="1"/>
  <c r="Q982"/>
  <c r="AE10" l="1"/>
  <c r="AD27"/>
  <c r="G30"/>
  <c r="Z81"/>
  <c r="Z26" s="1"/>
  <c r="AC81"/>
  <c r="AC26" s="1"/>
  <c r="AB81"/>
  <c r="AB26" s="1"/>
  <c r="AD26" s="1"/>
  <c r="E84"/>
  <c r="E29" s="1"/>
  <c r="H983"/>
  <c r="H84" s="1"/>
  <c r="H29" s="1"/>
  <c r="AE58" s="1"/>
  <c r="G983"/>
  <c r="Q83"/>
  <c r="Q28" s="1"/>
  <c r="R982"/>
  <c r="S982"/>
  <c r="S83" s="1"/>
  <c r="S28" s="1"/>
  <c r="AL58" l="1"/>
  <c r="AE9"/>
  <c r="AB36"/>
  <c r="AE34"/>
  <c r="AL34" s="1"/>
  <c r="AH29"/>
  <c r="R83"/>
  <c r="R28" s="1"/>
  <c r="AI28" s="1"/>
  <c r="E982"/>
  <c r="D982" s="1"/>
  <c r="D83" s="1"/>
  <c r="D28" s="1"/>
  <c r="Q981"/>
  <c r="G84"/>
  <c r="G29" l="1"/>
  <c r="Q82"/>
  <c r="Q27" s="1"/>
  <c r="R981"/>
  <c r="S981"/>
  <c r="S82" s="1"/>
  <c r="S27" s="1"/>
  <c r="E83"/>
  <c r="E28" s="1"/>
  <c r="H982"/>
  <c r="H83" s="1"/>
  <c r="H28" s="1"/>
  <c r="AE57" s="1"/>
  <c r="G982"/>
  <c r="AL57" l="1"/>
  <c r="AE33"/>
  <c r="AL33" s="1"/>
  <c r="AH28"/>
  <c r="G83"/>
  <c r="R82"/>
  <c r="R27" s="1"/>
  <c r="AI27" s="1"/>
  <c r="E981"/>
  <c r="D981" s="1"/>
  <c r="D82" s="1"/>
  <c r="D27" s="1"/>
  <c r="Q980"/>
  <c r="G28" l="1"/>
  <c r="Q81"/>
  <c r="Q26" s="1"/>
  <c r="R980"/>
  <c r="S980"/>
  <c r="S81" s="1"/>
  <c r="S26" s="1"/>
  <c r="E82"/>
  <c r="E27" s="1"/>
  <c r="H981"/>
  <c r="H82" s="1"/>
  <c r="H27" s="1"/>
  <c r="AE56" s="1"/>
  <c r="G981"/>
  <c r="AL56" l="1"/>
  <c r="AE32"/>
  <c r="AL32" s="1"/>
  <c r="AH27"/>
  <c r="G82"/>
  <c r="R81"/>
  <c r="R26" s="1"/>
  <c r="AI26" s="1"/>
  <c r="E980"/>
  <c r="D980" s="1"/>
  <c r="D81" s="1"/>
  <c r="D26" s="1"/>
  <c r="G27" l="1"/>
  <c r="E81"/>
  <c r="E26" s="1"/>
  <c r="H980"/>
  <c r="G980"/>
  <c r="AE31" l="1"/>
  <c r="AL31" s="1"/>
  <c r="G81"/>
  <c r="H81"/>
  <c r="H26" s="1"/>
  <c r="AE55" s="1"/>
  <c r="T980"/>
  <c r="AL55" l="1"/>
  <c r="AH26"/>
  <c r="G26"/>
  <c r="G36" s="1"/>
  <c r="AE5" s="1"/>
  <c r="T81"/>
  <c r="T26" s="1"/>
  <c r="U980"/>
  <c r="V980"/>
  <c r="W980" s="1"/>
  <c r="AB980" s="1"/>
  <c r="AH36" l="1"/>
  <c r="AE43"/>
  <c r="V81"/>
  <c r="V26" s="1"/>
  <c r="AG26" s="1"/>
  <c r="U81"/>
  <c r="U26" s="1"/>
  <c r="AJ26" s="1"/>
  <c r="T981"/>
  <c r="AL43" l="1"/>
  <c r="AO20" s="1"/>
  <c r="T82"/>
  <c r="T27" s="1"/>
  <c r="U981"/>
  <c r="V981"/>
  <c r="W981" s="1"/>
  <c r="AB981" s="1"/>
  <c r="W81"/>
  <c r="AG70" s="1"/>
  <c r="AE44" l="1"/>
  <c r="W26"/>
  <c r="AF26" s="1"/>
  <c r="V82"/>
  <c r="V27" s="1"/>
  <c r="AG27" s="1"/>
  <c r="U82"/>
  <c r="U27" s="1"/>
  <c r="AJ27" s="1"/>
  <c r="T982"/>
  <c r="AL44" l="1"/>
  <c r="AO21" s="1"/>
  <c r="W82"/>
  <c r="AG71" s="1"/>
  <c r="T83"/>
  <c r="T28" s="1"/>
  <c r="U982"/>
  <c r="V982"/>
  <c r="W982" s="1"/>
  <c r="AB982" s="1"/>
  <c r="AE45" l="1"/>
  <c r="W27"/>
  <c r="AF27" s="1"/>
  <c r="U83"/>
  <c r="U28" s="1"/>
  <c r="AJ28" s="1"/>
  <c r="T983"/>
  <c r="V83"/>
  <c r="V28" s="1"/>
  <c r="AG28" s="1"/>
  <c r="AL45" l="1"/>
  <c r="AO22" s="1"/>
  <c r="T84"/>
  <c r="T29" s="1"/>
  <c r="U983"/>
  <c r="V983"/>
  <c r="W983" s="1"/>
  <c r="AB983" s="1"/>
  <c r="W83"/>
  <c r="AG72" s="1"/>
  <c r="AE46" l="1"/>
  <c r="W28"/>
  <c r="AF28" s="1"/>
  <c r="V84"/>
  <c r="V29" s="1"/>
  <c r="AG29" s="1"/>
  <c r="U84"/>
  <c r="U29" s="1"/>
  <c r="AJ29" s="1"/>
  <c r="T984"/>
  <c r="AL46" l="1"/>
  <c r="AO23" s="1"/>
  <c r="T85"/>
  <c r="T30" s="1"/>
  <c r="U984"/>
  <c r="V984"/>
  <c r="W984" s="1"/>
  <c r="AB984" s="1"/>
  <c r="W84"/>
  <c r="AG73" s="1"/>
  <c r="AE47" l="1"/>
  <c r="W29"/>
  <c r="AF29" s="1"/>
  <c r="V85"/>
  <c r="V30" s="1"/>
  <c r="AG30" s="1"/>
  <c r="U85"/>
  <c r="U30" s="1"/>
  <c r="AJ30" s="1"/>
  <c r="T985"/>
  <c r="AL47" l="1"/>
  <c r="AO24" s="1"/>
  <c r="T86"/>
  <c r="T31" s="1"/>
  <c r="U985"/>
  <c r="V985"/>
  <c r="W985" s="1"/>
  <c r="AB985" s="1"/>
  <c r="W85"/>
  <c r="AG74" s="1"/>
  <c r="AE48" l="1"/>
  <c r="W30"/>
  <c r="AF30" s="1"/>
  <c r="V86"/>
  <c r="V31" s="1"/>
  <c r="AG31" s="1"/>
  <c r="U86"/>
  <c r="U31" s="1"/>
  <c r="AJ31" s="1"/>
  <c r="T986"/>
  <c r="AL48" l="1"/>
  <c r="AO25" s="1"/>
  <c r="W86"/>
  <c r="AG75" s="1"/>
  <c r="T87"/>
  <c r="T32" s="1"/>
  <c r="U986"/>
  <c r="V986"/>
  <c r="W986" s="1"/>
  <c r="AB986" s="1"/>
  <c r="AE49" l="1"/>
  <c r="W31"/>
  <c r="AF31" s="1"/>
  <c r="U87"/>
  <c r="U32" s="1"/>
  <c r="AJ32" s="1"/>
  <c r="T987"/>
  <c r="V87"/>
  <c r="V32" s="1"/>
  <c r="AG32" s="1"/>
  <c r="AL49" l="1"/>
  <c r="AO26" s="1"/>
  <c r="W87"/>
  <c r="AG76" s="1"/>
  <c r="T88"/>
  <c r="T33" s="1"/>
  <c r="U987"/>
  <c r="V987"/>
  <c r="W987" s="1"/>
  <c r="AB987" s="1"/>
  <c r="AE50" l="1"/>
  <c r="W32"/>
  <c r="AF32" s="1"/>
  <c r="U88"/>
  <c r="U33" s="1"/>
  <c r="AJ33" s="1"/>
  <c r="T988"/>
  <c r="V88"/>
  <c r="V33" s="1"/>
  <c r="AG33" s="1"/>
  <c r="AL50" l="1"/>
  <c r="AO27" s="1"/>
  <c r="T89"/>
  <c r="T34" s="1"/>
  <c r="U988"/>
  <c r="V988"/>
  <c r="W988" s="1"/>
  <c r="AB988" s="1"/>
  <c r="W88"/>
  <c r="AG77" s="1"/>
  <c r="AE51" l="1"/>
  <c r="W33"/>
  <c r="AF33" s="1"/>
  <c r="V89"/>
  <c r="V34" s="1"/>
  <c r="AG34" s="1"/>
  <c r="U89"/>
  <c r="U34" s="1"/>
  <c r="AJ34" s="1"/>
  <c r="T989"/>
  <c r="AL51" l="1"/>
  <c r="AO28" s="1"/>
  <c r="T90"/>
  <c r="T35" s="1"/>
  <c r="AE52" s="1"/>
  <c r="U989"/>
  <c r="V989"/>
  <c r="W989" s="1"/>
  <c r="AB989" s="1"/>
  <c r="W89"/>
  <c r="AG78" s="1"/>
  <c r="AL52" l="1"/>
  <c r="AO29" s="1"/>
  <c r="W34"/>
  <c r="AF34" s="1"/>
  <c r="V90"/>
  <c r="V35" s="1"/>
  <c r="AG35" s="1"/>
  <c r="U90"/>
  <c r="U35" s="1"/>
  <c r="AJ35" s="1"/>
  <c r="U990"/>
  <c r="U91" s="1"/>
  <c r="W92" s="1"/>
  <c r="AJ24" l="1"/>
  <c r="AH37"/>
  <c r="W90"/>
  <c r="AG79" s="1"/>
  <c r="R37"/>
  <c r="AL3" l="1"/>
  <c r="AE53"/>
  <c r="M39"/>
  <c r="AK3" s="1"/>
  <c r="AM3" s="1"/>
  <c r="AE3"/>
  <c r="W35"/>
  <c r="AF35" s="1"/>
  <c r="R39"/>
  <c r="W91"/>
  <c r="AE6" l="1"/>
  <c r="AI24"/>
  <c r="P1" i="15" l="1"/>
  <c r="Q13" s="1"/>
  <c r="Q10" l="1"/>
  <c r="Q12"/>
  <c r="Q8"/>
  <c r="Q14"/>
  <c r="P3"/>
  <c r="Q2" s="1"/>
  <c r="V3"/>
  <c r="V4" s="1"/>
  <c r="Q9"/>
  <c r="Q11"/>
</calcChain>
</file>

<file path=xl/sharedStrings.xml><?xml version="1.0" encoding="utf-8"?>
<sst xmlns="http://schemas.openxmlformats.org/spreadsheetml/2006/main" count="5416" uniqueCount="1386">
  <si>
    <t>1 az 6</t>
  </si>
  <si>
    <t>kPa</t>
  </si>
  <si>
    <t>kg/hod</t>
  </si>
  <si>
    <t>W</t>
  </si>
  <si>
    <t>mm</t>
  </si>
  <si>
    <t>ventilu</t>
  </si>
  <si>
    <t>ventilem</t>
  </si>
  <si>
    <t>výkon</t>
  </si>
  <si>
    <t>zpátečky</t>
  </si>
  <si>
    <t>teplota</t>
  </si>
  <si>
    <t>stoupačky</t>
  </si>
  <si>
    <t>tepl</t>
  </si>
  <si>
    <t>sec</t>
  </si>
  <si>
    <t>koef</t>
  </si>
  <si>
    <t>Pa</t>
  </si>
  <si>
    <t>m/s</t>
  </si>
  <si>
    <t>m</t>
  </si>
  <si>
    <t>l/s</t>
  </si>
  <si>
    <t>průměr</t>
  </si>
  <si>
    <t>°C</t>
  </si>
  <si>
    <t>prednast</t>
  </si>
  <si>
    <t>tlak ztr</t>
  </si>
  <si>
    <t>průtok</t>
  </si>
  <si>
    <t>celkový</t>
  </si>
  <si>
    <t>koncová</t>
  </si>
  <si>
    <t>nátoková</t>
  </si>
  <si>
    <t>výst</t>
  </si>
  <si>
    <t>vst</t>
  </si>
  <si>
    <t>doba</t>
  </si>
  <si>
    <t>ztr</t>
  </si>
  <si>
    <t>délka</t>
  </si>
  <si>
    <t>vnitř.</t>
  </si>
  <si>
    <t>výst tepl</t>
  </si>
  <si>
    <t>okolí</t>
  </si>
  <si>
    <t>vst tepl</t>
  </si>
  <si>
    <t>inst výkon</t>
  </si>
  <si>
    <t>zpátečka:</t>
  </si>
  <si>
    <t>tlak</t>
  </si>
  <si>
    <t>nátoková trubka:</t>
  </si>
  <si>
    <t>Radik 6l/kW</t>
  </si>
  <si>
    <t>Radiátor:</t>
  </si>
  <si>
    <t>dostupný tlak:</t>
  </si>
  <si>
    <t>kPa přirážka na ventily</t>
  </si>
  <si>
    <t>sec na konec</t>
  </si>
  <si>
    <t>tlak čerpadla:</t>
  </si>
  <si>
    <t>výst. tepl:</t>
  </si>
  <si>
    <t>nátoková teplota:</t>
  </si>
  <si>
    <t>med12</t>
  </si>
  <si>
    <t>med15</t>
  </si>
  <si>
    <t>med18</t>
  </si>
  <si>
    <t>med 22/20</t>
  </si>
  <si>
    <t>med 28/25</t>
  </si>
  <si>
    <t>pex20/16</t>
  </si>
  <si>
    <t>Pa/m</t>
  </si>
  <si>
    <t>tlak. ztr.</t>
  </si>
  <si>
    <t>rychlost</t>
  </si>
  <si>
    <t>http://vytapeni.tzb-info.cz/tabulky-a-vypocty/87-vypocet-tlakove-ztraty-trenim-v-potrubi</t>
  </si>
  <si>
    <t>požad</t>
  </si>
  <si>
    <t>Skutečný výkon radiátoru odpovídající teplotnímu spádu protékající vody a jejímu množství</t>
  </si>
  <si>
    <t>kW</t>
  </si>
  <si>
    <t>dT( K)</t>
  </si>
  <si>
    <t>Výpočet průtoku kotle:</t>
  </si>
  <si>
    <t>Instalovaný výkon radiátoru počítaný v teplotním spádu 75/65/20. Ve spádu 90/70/20 vychází 1/0,85 x větší. 850W  75/65/20 = 1000W 90/70/20.</t>
  </si>
  <si>
    <t>Celkový výkon tělesa, přívodního úseku + zpátečky.</t>
  </si>
  <si>
    <t>průběh iterace / korekce polem AB23.</t>
  </si>
  <si>
    <t>Za tyto řádky do výpočtů nesahat.</t>
  </si>
  <si>
    <t>poměr</t>
  </si>
  <si>
    <t>prům (m)</t>
  </si>
  <si>
    <t>výš (m)</t>
  </si>
  <si>
    <t>objem m3</t>
  </si>
  <si>
    <t>kapacita J/K</t>
  </si>
  <si>
    <t>dna m2</t>
  </si>
  <si>
    <t>stěna m2</t>
  </si>
  <si>
    <t>celkem m2</t>
  </si>
  <si>
    <t>tloustka m</t>
  </si>
  <si>
    <t>vodivost W/K</t>
  </si>
  <si>
    <t>T hod</t>
  </si>
  <si>
    <t>T dní</t>
  </si>
  <si>
    <t>akumulační nádrž:</t>
  </si>
  <si>
    <t>řada vnitřních průměrů měděných trubek:</t>
  </si>
  <si>
    <t>PPR plast:</t>
  </si>
  <si>
    <t>ocel:</t>
  </si>
  <si>
    <t>3 / 8</t>
  </si>
  <si>
    <t>1 / 2</t>
  </si>
  <si>
    <t>3 / 4</t>
  </si>
  <si>
    <t>4 / 4</t>
  </si>
  <si>
    <t>5 / 4</t>
  </si>
  <si>
    <t>6 / 4</t>
  </si>
  <si>
    <t>8 / 4</t>
  </si>
  <si>
    <t>l/hod</t>
  </si>
  <si>
    <t>výst °C</t>
  </si>
  <si>
    <t>vst °C</t>
  </si>
  <si>
    <t>radiátor průtoky, teploty:</t>
  </si>
  <si>
    <t>vnitr pr.</t>
  </si>
  <si>
    <t>Doba, za kterou dojde ke kompletní výměně vody v radiátoru. Po této době radiátor topí plným výkonem. Pro radiátory Radik vychází objem včetně železa cca 6l/kW.</t>
  </si>
  <si>
    <t>Teplota výstupní vody z radiátoru</t>
  </si>
  <si>
    <t>Teplota okolí. Z ní se odvozuje dT</t>
  </si>
  <si>
    <t>Nátoková teplota radiátoru.</t>
  </si>
  <si>
    <t>Koef je vypočítaný poměr dT teploty zpátečky/teploty nátokové k okolí . Např 75/65/20 je 45/55 = 0,82</t>
  </si>
  <si>
    <t>Přívodní trubka k radiátoru - úsek mezi uvedeným radiátorem a radiátorem předchozím</t>
  </si>
  <si>
    <t>Průtok danou trubkou je součtem všech následujících radiátorů až do konce větve</t>
  </si>
  <si>
    <t>Vypočtená rychlost proudění v daném úseku</t>
  </si>
  <si>
    <t>Tlaková ztráta daného úseku. Pouze topná voda. Včetně zpátečky se počítá až na závěr výpočtu.</t>
  </si>
  <si>
    <t>Koeficient teplotní ztráty daného úseku. Např 0,1 při 70 °C a okolí 20 °C znamená spád 0,1*(70-20)=5 K</t>
  </si>
  <si>
    <t>Doba, za kterou topná voda dorazí od předchozího radiátoru k počítanému v sekundách.</t>
  </si>
  <si>
    <t>Vstupní teplota daného úseku-odpovídá předchozímu radiátoru</t>
  </si>
  <si>
    <t>Výstupní teplota daného úseku trubky-nátoková počítaného radiátoru</t>
  </si>
  <si>
    <t>Výkon daného úseku stoupačky.</t>
  </si>
  <si>
    <t>Nátoková teplota zpátečky</t>
  </si>
  <si>
    <t>Koncová teplota zpátečky</t>
  </si>
  <si>
    <t>Výkon zpátečky.</t>
  </si>
  <si>
    <t>Průtok ventilem počítaného tělesa v kg/hod.</t>
  </si>
  <si>
    <t>Tlak na ventilu pro účely výpočtu přednastavení.</t>
  </si>
  <si>
    <t>Požadovaný výkon daného tělesa(včetně přilehlých stoupaček a zpáteček).</t>
  </si>
  <si>
    <t>VYPLŇUJTE JEN ŽLUTÁ POLE!!</t>
  </si>
  <si>
    <r>
      <t>popisy</t>
    </r>
    <r>
      <rPr>
        <b/>
        <sz val="14"/>
        <color theme="1"/>
        <rFont val="Calibri"/>
        <family val="2"/>
        <charset val="238"/>
        <scheme val="minor"/>
      </rPr>
      <t xml:space="preserve"> -&gt;&gt;&gt;&gt;&gt;&gt;&gt;&gt;</t>
    </r>
  </si>
  <si>
    <t>108 W v režimu 90/70/20</t>
  </si>
  <si>
    <t>Korado Radik tabulkový výkon</t>
  </si>
  <si>
    <t>výpočet W</t>
  </si>
  <si>
    <t>2000l</t>
  </si>
  <si>
    <t>trubka</t>
  </si>
  <si>
    <t>100l</t>
  </si>
  <si>
    <t>50l</t>
  </si>
  <si>
    <t>10l</t>
  </si>
  <si>
    <t>m2</t>
  </si>
  <si>
    <t>lin</t>
  </si>
  <si>
    <t>21/21VK</t>
  </si>
  <si>
    <t>22/22VK</t>
  </si>
  <si>
    <t>33/33VK</t>
  </si>
  <si>
    <t>délka mm</t>
  </si>
  <si>
    <t>výška mm</t>
  </si>
  <si>
    <t>90/70</t>
  </si>
  <si>
    <t>75/65</t>
  </si>
  <si>
    <t>70/55</t>
  </si>
  <si>
    <t>55/45</t>
  </si>
  <si>
    <t>teplot. spád</t>
  </si>
  <si>
    <t>str 49/86</t>
  </si>
  <si>
    <t>korado-radik-2011.pdf</t>
  </si>
  <si>
    <t>https://www.ceskakoupelna.cz/fotky22589/korado-radik-2011.pdf</t>
  </si>
  <si>
    <t>https://www.korado.cz/common/downloads/radik-deskova-otopna-telesa-1454416522.pdf</t>
  </si>
  <si>
    <t>str 47/80</t>
  </si>
  <si>
    <t>přepočet ventilů str. 17/80</t>
  </si>
  <si>
    <t>Přečtení nomogramu 8 polohového přednastavení a porovnání s 6 polohovým:</t>
  </si>
  <si>
    <t>str 17/86</t>
  </si>
  <si>
    <t>Rozsah 8 bodového přednastavení odpovídá položkám 3 až 6 u 6bodového. 6bodový má výrazně výhodnější průběh - dovolí přednastavit i žebříčky s malým výkonem.</t>
  </si>
  <si>
    <t>1 až 8</t>
  </si>
  <si>
    <t>http://vytapeni.tzb-info.cz/mereni-a-regulace/6108-termicke-vyvazeni-pri-upravach-otopnych-soustav-i</t>
  </si>
  <si>
    <t>Odpovídá diferenčnímu tlaku 400 kPa. Zjevně chyba.</t>
  </si>
  <si>
    <t>kv počítáno jako průtok ventilu při tlaku 100 kPa</t>
  </si>
  <si>
    <t>kg/hod opt. celkový průtok</t>
  </si>
  <si>
    <t>průtok kg/h:</t>
  </si>
  <si>
    <t>ks</t>
  </si>
  <si>
    <t>koeficienty Radik pro 75/65/20</t>
  </si>
  <si>
    <t>typ</t>
  </si>
  <si>
    <t>koef výkonu</t>
  </si>
  <si>
    <t>poměr výkon požadovaný/instalovaný:</t>
  </si>
  <si>
    <t>objem vody 1,57 l/ článek, cca 14 l/kW</t>
  </si>
  <si>
    <t>http://forum.tzb-info.cz/119140-objem-vody-stary-vs-novy-radiator</t>
  </si>
  <si>
    <t>Nominální průtok radiátorem v l/s v režimu 75/65/20 pokud je v poli B21 číslo 1. Pro spád 90/70/20 napište do pole B21 0,66</t>
  </si>
  <si>
    <t>vnitř. pr</t>
  </si>
  <si>
    <t>50m kPa</t>
  </si>
  <si>
    <t>minut</t>
  </si>
  <si>
    <t>tlakoveztratyr999.pdf</t>
  </si>
  <si>
    <t>R999</t>
  </si>
  <si>
    <t>TUBO MULTISTRATO</t>
  </si>
  <si>
    <t>podlahovka Žichlínek</t>
  </si>
  <si>
    <t>50°C</t>
  </si>
  <si>
    <t>vnější</t>
  </si>
  <si>
    <t>vnitř. mm</t>
  </si>
  <si>
    <t>Kv m3/hod před iter</t>
  </si>
  <si>
    <t>1až8před</t>
  </si>
  <si>
    <t>Výpočet Kv ventilu:</t>
  </si>
  <si>
    <t>Kv (m3/hod)</t>
  </si>
  <si>
    <t>https://www.korado.cz/common/downloads/8-stupnovy-vlozeny-ventil-pro-deskova-otopna-telesa-v-provedeni-ventil-kompakt.pdf</t>
  </si>
  <si>
    <t>litinové/ocelové žebro 600/200   topí 89 až 90W  v režimu 75/65/20</t>
  </si>
  <si>
    <t>Délka úseku mezi počítaným radiátorem a radiátorem předchozím. Pouze tam, ne zpátečka.</t>
  </si>
  <si>
    <t>dt (K)</t>
  </si>
  <si>
    <t>h (m)</t>
  </si>
  <si>
    <t>tlak (kPa)</t>
  </si>
  <si>
    <t>samotíž</t>
  </si>
  <si>
    <t>výkonový krok 0 je bez uvažování iterace,1 většinou vyhoví k výpočtu výkonové iterace. Pro vzorový příklad je 10ka optimální krok a 20ka na mezi stability.</t>
  </si>
  <si>
    <t>tlakový krok 0 je bez vlivu, 0,7 je optimální tlumení a 1,4 je mez překmitu pro tento příklad. Tímto přepínačem se řeší co se stane, když máme čerpadlo s konstantním tlakem.</t>
  </si>
  <si>
    <t>http://kondenzace.kvalitne.cz</t>
  </si>
  <si>
    <t>josvav@volny.cz</t>
  </si>
  <si>
    <t>0 jen radiátory, 1 počítáno včetně příslušného potrubí</t>
  </si>
  <si>
    <t>PEX AL PEX 16x2 20x2 26x3 32x3</t>
  </si>
  <si>
    <t>1,5m</t>
  </si>
  <si>
    <t>3m</t>
  </si>
  <si>
    <t>2m</t>
  </si>
  <si>
    <t>4m</t>
  </si>
  <si>
    <t>16mm</t>
  </si>
  <si>
    <t>20mm</t>
  </si>
  <si>
    <t>25mm</t>
  </si>
  <si>
    <t>1,6m</t>
  </si>
  <si>
    <t>1,3m</t>
  </si>
  <si>
    <t>20mm 5m</t>
  </si>
  <si>
    <t>přednastavení ventilu logicky neplatí</t>
  </si>
  <si>
    <t>výpočet vrchní větve sumační</t>
  </si>
  <si>
    <t>výpočet levé větve sumační</t>
  </si>
  <si>
    <t>13mm</t>
  </si>
  <si>
    <t>1m</t>
  </si>
  <si>
    <t>16mm1,9m</t>
  </si>
  <si>
    <t>přednastavení musí být zvoleno tak, aby potřebný tlak čerpadla byl stejný v obou výpočtech. Začínáme tedy tou nejtěžší větví</t>
  </si>
  <si>
    <t>a krátké dolní větvičky kompenzujeme vysokým základním tlakem v poli Y37 - přirážka na ventily.</t>
  </si>
  <si>
    <t>připojený kotel</t>
  </si>
  <si>
    <t>Kontrola nezapomenutí</t>
  </si>
  <si>
    <r>
      <t>W(sloupec</t>
    </r>
    <r>
      <rPr>
        <b/>
        <sz val="11"/>
        <color theme="1"/>
        <rFont val="Calibri"/>
        <family val="2"/>
        <charset val="238"/>
        <scheme val="minor"/>
      </rPr>
      <t xml:space="preserve"> B</t>
    </r>
    <r>
      <rPr>
        <sz val="11"/>
        <color theme="1"/>
        <rFont val="Calibri"/>
        <family val="2"/>
        <charset val="238"/>
        <scheme val="minor"/>
      </rPr>
      <t>)</t>
    </r>
  </si>
  <si>
    <r>
      <t>průměr (</t>
    </r>
    <r>
      <rPr>
        <b/>
        <sz val="11"/>
        <color theme="1"/>
        <rFont val="Calibri"/>
        <family val="2"/>
        <charset val="238"/>
        <scheme val="minor"/>
      </rPr>
      <t>J</t>
    </r>
    <r>
      <rPr>
        <sz val="11"/>
        <color theme="1"/>
        <rFont val="Calibri"/>
        <family val="2"/>
        <charset val="238"/>
        <scheme val="minor"/>
      </rPr>
      <t>)</t>
    </r>
  </si>
  <si>
    <r>
      <t>délka (</t>
    </r>
    <r>
      <rPr>
        <b/>
        <sz val="11"/>
        <color theme="1"/>
        <rFont val="Calibri"/>
        <family val="2"/>
        <charset val="238"/>
        <scheme val="minor"/>
      </rPr>
      <t>L</t>
    </r>
    <r>
      <rPr>
        <sz val="11"/>
        <color theme="1"/>
        <rFont val="Calibri"/>
        <family val="2"/>
        <charset val="238"/>
        <scheme val="minor"/>
      </rPr>
      <t>)</t>
    </r>
  </si>
  <si>
    <t>výpočet hlavní větve, boční jsou sumarizovány.</t>
  </si>
  <si>
    <t>Výpočet levé větve, hlavní a pravá jsou sumarizovány.</t>
  </si>
  <si>
    <t>Tlak ztráta Pa</t>
  </si>
  <si>
    <t>průměr mm</t>
  </si>
  <si>
    <t>délka m</t>
  </si>
  <si>
    <t>Reálné měření hotových PEX AL PEX podlah ale vykazovalo odpory o 30% vyšší. Možná díky mnoha obloukům.</t>
  </si>
  <si>
    <t>Chyba výpočtu pro měděné trubky +-1%. PEX má mít odpor o 5% nižší proti mědi ( PEX je hladší povrch).</t>
  </si>
  <si>
    <t>Zajímavá souvislost vzniká s porovnáním výpočtu Kv , kde exponent rychlosti proudění je 2,0 tedy přesně druhá mocnina. Pro trubky tento exponent 1,82. Tedy se ke 2,0 blíží.</t>
  </si>
  <si>
    <t>Tlaková ztráta(Pa) je délka(m) krát 26500 krát vnitřní průměr trubky (mm) na 1,27 krát rychlost proudění (m/s) na 1,82.</t>
  </si>
  <si>
    <t>zde je odvození matematického vztahu slovně popsaného následovně:</t>
  </si>
  <si>
    <t xml:space="preserve">http://kondenzace.kvalitne.cz/kks/navrh-radiatoru-a-stoupacek-vzor.xlsx </t>
  </si>
  <si>
    <t xml:space="preserve">http://kondenzace.kvalitne.cz/vypocet-topne-soustavy-radiatoru/ </t>
  </si>
  <si>
    <t>vše důsledně řešeno v souboru</t>
  </si>
  <si>
    <t>K radiátoru vzdáleném 3 metry tedy musíte do řádku 10  napsat 6 metrů + připočítat typicky 10 kPa na správnou funkci termoventilu.</t>
  </si>
  <si>
    <t>každý sloupec je samostatným výpočtem. Je tak možné porovnávat jednotlivé varianty.   Tlakové ztráty je počítána jedna! trubka.</t>
  </si>
  <si>
    <t>Tlaková ztráta potrubí (Pa) jedna trubka!!</t>
  </si>
  <si>
    <t>skutečná rychlost  (m/s)</t>
  </si>
  <si>
    <t>Vnitřní světlost potrubí (mm)</t>
  </si>
  <si>
    <t>délka potrubí (m)</t>
  </si>
  <si>
    <t>vnitřní průměr mm</t>
  </si>
  <si>
    <t>průřez mm2</t>
  </si>
  <si>
    <t>průtok l/s</t>
  </si>
  <si>
    <t>Požadovaná průtoková rychlost  m/s</t>
  </si>
  <si>
    <t>tepelný spád   K</t>
  </si>
  <si>
    <t>Přenášený výkon  kW</t>
  </si>
  <si>
    <t>číslo sloupce:</t>
  </si>
  <si>
    <t>zadávejte žlutá pole!</t>
  </si>
  <si>
    <t xml:space="preserve">Výpočet průměru potrubí pro daný přenos energie </t>
  </si>
  <si>
    <t xml:space="preserve">dle řádku 38 by ekvivalentem 4c ventilu s Kv 14 bylo cca 20 metrů trubky navíc jako vodorovné vedení (10 tam a 10 zpátky) </t>
  </si>
  <si>
    <t>efektivní průměr  jako funkce délky trubky.</t>
  </si>
  <si>
    <t>kW(kontrola)</t>
  </si>
  <si>
    <t>dT</t>
  </si>
  <si>
    <t>Kw</t>
  </si>
  <si>
    <t>jako průměr mm</t>
  </si>
  <si>
    <t>jako průřez mm2:</t>
  </si>
  <si>
    <t>Kv</t>
  </si>
  <si>
    <t>výpočet Kv dlouhé trubky:</t>
  </si>
  <si>
    <t>Kv teor</t>
  </si>
  <si>
    <t>pro ventil samotíž vychází průřezy clon od 60 mm2 po plně otevřené až 176, resp. 277 mm2.</t>
  </si>
  <si>
    <t>tučné jsou výsledky nejprve kontrolně clonkového ventilu Korado s přednastavením 1 až 6.  Vrtané průměry ještě musím ověřit, ale zdají se reálné.</t>
  </si>
  <si>
    <t>obr. 11.3 Rychlostní, kontrakční a výtokový součinitel malého otvoru</t>
  </si>
  <si>
    <t>VE-4523A</t>
  </si>
  <si>
    <t>VE-4523</t>
  </si>
  <si>
    <t>násobek</t>
  </si>
  <si>
    <t>v (m/s)</t>
  </si>
  <si>
    <t>opravný koef.</t>
  </si>
  <si>
    <t>průřez (mm2)</t>
  </si>
  <si>
    <t>průměr (mm)</t>
  </si>
  <si>
    <t>korado:</t>
  </si>
  <si>
    <t>a obráceně průřez v mm2 je 20 násobek Kv.</t>
  </si>
  <si>
    <t>teotreticky je Kv 5% průřezu v mm2</t>
  </si>
  <si>
    <t>str. 179/260</t>
  </si>
  <si>
    <t>Torricelliho výraz.</t>
  </si>
  <si>
    <t>http://www.elearn.vsb.cz/archivcd/FS/MT/Mechanika%20tekutin.pdf</t>
  </si>
  <si>
    <t>samotíž:</t>
  </si>
  <si>
    <t>Vztah mezi Kv a průřezem clony:</t>
  </si>
  <si>
    <t>Kv x 20 je průřez clony v mm2.  Kv=1 je díra 20 mm2</t>
  </si>
  <si>
    <t>W/m2</t>
  </si>
  <si>
    <t>vnitřní</t>
  </si>
  <si>
    <t>JMENOVITÁ SVĚTLOST</t>
  </si>
  <si>
    <t>DN</t>
  </si>
  <si>
    <t>[mm]</t>
  </si>
  <si>
    <t>["] </t>
  </si>
  <si>
    <t xml:space="preserve">https://www.tzb-info.cz/tabulky-a-vypocty/14-porovnani-svetlosti-dn-mm-a-svetlosti-v-palcich </t>
  </si>
  <si>
    <t>1/4</t>
  </si>
  <si>
    <t>1/8</t>
  </si>
  <si>
    <t>3/8</t>
  </si>
  <si>
    <t>1/2</t>
  </si>
  <si>
    <t>3/4</t>
  </si>
  <si>
    <t>m3/hod</t>
  </si>
  <si>
    <t>výška</t>
  </si>
  <si>
    <t>vstup</t>
  </si>
  <si>
    <t>výstup</t>
  </si>
  <si>
    <t>světlost</t>
  </si>
  <si>
    <t>prumer</t>
  </si>
  <si>
    <t>výkony</t>
  </si>
  <si>
    <t>radiátorů</t>
  </si>
  <si>
    <t>kotle</t>
  </si>
  <si>
    <t>l/min</t>
  </si>
  <si>
    <t>OCELOVÉ TRUBKY ZÁVITOVÉ BĚŽNÉ</t>
  </si>
  <si>
    <t>Vnější průměr trubky D [mm]</t>
  </si>
  <si>
    <t>Jmen. světlost v mm DN [mm]</t>
  </si>
  <si>
    <t>Jmen. světlost v palcích DN (Js) [″]</t>
  </si>
  <si>
    <t>http://www.vipa.cz/dimenze.html</t>
  </si>
  <si>
    <t>W  75/65/20</t>
  </si>
  <si>
    <t>vyska mm</t>
  </si>
  <si>
    <t>delka mm</t>
  </si>
  <si>
    <t>xx</t>
  </si>
  <si>
    <t>součet tlaků</t>
  </si>
  <si>
    <t>s iterací</t>
  </si>
  <si>
    <t>bez iterace</t>
  </si>
  <si>
    <t>požadavek</t>
  </si>
  <si>
    <t>rychlosti (m/s)</t>
  </si>
  <si>
    <t>Kv m3/hod</t>
  </si>
  <si>
    <t>1až8</t>
  </si>
  <si>
    <t>Nejprve AB22,AB23 a AB24 = 0 a osazujete klasickou otopnou soustavu podle možností.</t>
  </si>
  <si>
    <t>Poté napíšete AB23 = 1 a zapnete tak iterační výpočet výkonů - obdoba funkce termohlavic.</t>
  </si>
  <si>
    <t>AB24 přibližuje výpočet možnostem čerpadla 20 kPa a AB22 připočítává výkon trubek.</t>
  </si>
  <si>
    <t>Kv ventilu příslušného radiátoru</t>
  </si>
  <si>
    <t>Vhodné číslo přednastavení ventilu Korado ve škále 1 až 6 - odvozeno z Kv ventilu ve sloupci AB.</t>
  </si>
  <si>
    <t>Vhodné číslo přednastavení ventilu Korado ve škále 1 až 8 - odvozeno z Kv ventilu ve sloupci AB.</t>
  </si>
  <si>
    <t>nula je bez korekce, 0,38 je skutečný výkon radiátorů Korado v závislosti na teplotě (exponent 1,3).</t>
  </si>
  <si>
    <t>pro 90/70/20 průtočnost 0,66 a výkon je 1,32 x větší</t>
  </si>
  <si>
    <t>pro 75/65/20 průtočnost 1 a výkon odpovídá.</t>
  </si>
  <si>
    <t>t</t>
  </si>
  <si>
    <t>priv</t>
  </si>
  <si>
    <t>zpat</t>
  </si>
  <si>
    <t>kPa tlak pro optimalizaci AB24</t>
  </si>
  <si>
    <t>dosaženost výkonu</t>
  </si>
  <si>
    <t>zpat.</t>
  </si>
  <si>
    <t>zp tel</t>
  </si>
  <si>
    <t>end</t>
  </si>
  <si>
    <t>export dat AE2 - AE87</t>
  </si>
  <si>
    <t>W/m2K</t>
  </si>
  <si>
    <t>stoup.</t>
  </si>
  <si>
    <t>nátoková teplota °C</t>
  </si>
  <si>
    <t>vratná teplota °C</t>
  </si>
  <si>
    <t>Celkový dif. tlak kPa</t>
  </si>
  <si>
    <t>topný výkon těles W</t>
  </si>
  <si>
    <t>celkový topný výkon W</t>
  </si>
  <si>
    <t>celkový průtok kg/hod</t>
  </si>
  <si>
    <t>zp teles</t>
  </si>
  <si>
    <t>Koeficient celkových tlakových ztrát (pokud jsou např. místní odpory 30% navíc, píšeme 1,3 )</t>
  </si>
  <si>
    <t>podíl stoupaček</t>
  </si>
  <si>
    <t>https://vytapeni.tzb-info.cz/tabulky-a-vypocty/87-vypocet-tlakove-ztraty-trenim-v-potrubi</t>
  </si>
  <si>
    <t>https://vytapeni.tzb-info.cz/tabulky-a-vypocty/44-tepelna-ztrata-potrubi-s-izolaci-kruhoveho-prurezu</t>
  </si>
  <si>
    <t>https://vytapeni.tzb-info.cz/tabulky-a-vypocty/48-prutokovy-soucinitel-kv-a-graf-tlakovych-ztrat</t>
  </si>
  <si>
    <t>výpočet tlakových ztrát</t>
  </si>
  <si>
    <t>výpočet tepelných ztrát</t>
  </si>
  <si>
    <t>teorie kolem Kv</t>
  </si>
  <si>
    <t>https://vytapeni.tzb-info.cz/tabulky-a-vypocty/42-prepocet-tepelnych-vykonu-otopnych-teles</t>
  </si>
  <si>
    <t>nepoužívám, protože nerespektuje fyzikální zákony</t>
  </si>
  <si>
    <t>1000 [W] (75/20/20 [°C], n=1.3) = 2175 [W] (75/65/20 [°C])</t>
  </si>
  <si>
    <t>Z exponenciálního chladnutí vychází teplota zpátečky 26,7°C , nikoli 20°C</t>
  </si>
  <si>
    <t>Obdobně neplatí aritmetické průměry teplot i v jiných případech</t>
  </si>
  <si>
    <t>bez kor</t>
  </si>
  <si>
    <t>W rad</t>
  </si>
  <si>
    <t>W st</t>
  </si>
  <si>
    <t>W zp</t>
  </si>
  <si>
    <t>kontr.</t>
  </si>
  <si>
    <t>pořadí</t>
  </si>
  <si>
    <t>1000 [W] (90/50/20 [°C], n=1.3) = 1000 [W] (75/65/20 [°C])</t>
  </si>
  <si>
    <t>exp / T4</t>
  </si>
  <si>
    <t>nas/t4</t>
  </si>
  <si>
    <t>nas</t>
  </si>
  <si>
    <t>exp</t>
  </si>
  <si>
    <t>výpočet z taylorova rozvoje T4-T4</t>
  </si>
  <si>
    <t>teorie T4</t>
  </si>
  <si>
    <t>výpočet dle algoritmu zveřejněných tabulek</t>
  </si>
  <si>
    <t>tabulka</t>
  </si>
  <si>
    <t>dT K proti dT 50K</t>
  </si>
  <si>
    <t>exponent z 10panel vzor</t>
  </si>
  <si>
    <t>jímka:</t>
  </si>
  <si>
    <t>T^4</t>
  </si>
  <si>
    <t>W exp</t>
  </si>
  <si>
    <t>deriv</t>
  </si>
  <si>
    <t>derivace:</t>
  </si>
  <si>
    <t>W katalog</t>
  </si>
  <si>
    <t>linear střední teplota</t>
  </si>
  <si>
    <t>linear nátoková teplota</t>
  </si>
  <si>
    <t xml:space="preserve"> </t>
  </si>
  <si>
    <t>výpočet</t>
  </si>
  <si>
    <t>TZB</t>
  </si>
  <si>
    <t>exponent průměr</t>
  </si>
  <si>
    <t>exponent rychlost</t>
  </si>
  <si>
    <t>vztahová konstanta</t>
  </si>
  <si>
    <t>Přesnost 1% v rozsahu vnitřních průměrů 10 - 25 mm</t>
  </si>
  <si>
    <t>Přesnost 1% v rozsahu rychlostí 0,3 - 1,2 m/s</t>
  </si>
  <si>
    <t>hodnoty do 25.9.2019</t>
  </si>
  <si>
    <t>tel. / WhatsApp : 608507514</t>
  </si>
  <si>
    <t>© Ing. Josef Vávra</t>
  </si>
  <si>
    <t>Zvolte normovanou průtočnost těles. 1 pro spád 75/65/20 nebo 0,66 pro spád 75/60/20 či 90/70/20. Funguje pouze, když AB23 a AB24 jsou nuly.</t>
  </si>
  <si>
    <t>mm H2O</t>
  </si>
  <si>
    <t>l/h</t>
  </si>
  <si>
    <t>80°C</t>
  </si>
  <si>
    <t>závislost na průměru vychází ^2,7</t>
  </si>
  <si>
    <t>poměry Kv 80°C / 50°C  a 50°C / 10°C</t>
  </si>
  <si>
    <t>32 x 3</t>
  </si>
  <si>
    <t>26 x 3</t>
  </si>
  <si>
    <t>20 x 2</t>
  </si>
  <si>
    <t>20 x 2,5</t>
  </si>
  <si>
    <t>18 x 2</t>
  </si>
  <si>
    <t>16 x 2</t>
  </si>
  <si>
    <t>14 x 2</t>
  </si>
  <si>
    <t>Ø</t>
  </si>
  <si>
    <t>n°</t>
  </si>
  <si>
    <t>průměr ^ 2,7</t>
  </si>
  <si>
    <t>Kv pro 100m 80°C</t>
  </si>
  <si>
    <t>Kv pro 100m 50°C</t>
  </si>
  <si>
    <t>Kv pro 100m 10°C</t>
  </si>
  <si>
    <t>80na50</t>
  </si>
  <si>
    <t>50na10</t>
  </si>
  <si>
    <t>http://kondenzace.kvalitne.cz/kks/tlakoveztratyr999.xlsx</t>
  </si>
  <si>
    <t>https://www.koupelny-venta.cz/37129,giacomini-r999i-trubka-pex-al-pex-pro-vytapeni-a-rozvody-sanity-v-izolaci.html</t>
  </si>
  <si>
    <t>https://i.koupelny-venta.cz/datafm/13318</t>
  </si>
  <si>
    <t>m trubky(přepište dle potřeby)</t>
  </si>
  <si>
    <t>Nepoužívaný zadejte 1W</t>
  </si>
  <si>
    <t>Kv přednastavení</t>
  </si>
  <si>
    <t>Sériově řazené Kv</t>
  </si>
  <si>
    <t>Kv / stupeň.</t>
  </si>
  <si>
    <t>Kv / mm</t>
  </si>
  <si>
    <t>úhel</t>
  </si>
  <si>
    <t>sin</t>
  </si>
  <si>
    <t>mm2</t>
  </si>
  <si>
    <t>mm průměr clony</t>
  </si>
  <si>
    <t>° úhel</t>
  </si>
  <si>
    <t>mm průměr</t>
  </si>
  <si>
    <t>http://home.tiscali.cz/cz447703/honeywell/min-kv.htm</t>
  </si>
  <si>
    <t>odvození 8stupňového přednastavení:</t>
  </si>
  <si>
    <t>kg/h</t>
  </si>
  <si>
    <t>1st</t>
  </si>
  <si>
    <t>2st</t>
  </si>
  <si>
    <t>3st</t>
  </si>
  <si>
    <t>https://forum.tzb-info.cz/docu/diskuze/1451/145178/0004007.jpg</t>
  </si>
  <si>
    <t>https://warm-and-cozy.ru/cs/radiators/regulator-on-the-battery-the-principle-of-the-thermostat-for-heating.html</t>
  </si>
  <si>
    <t>http://www.honeywell.cz/home/Odb.clanky/V2880-CZ.pdf</t>
  </si>
  <si>
    <t>http://www.spsstavvm.cz/cs/pro-studenty/studijni-materialy/tzb/ing-poboril/a2-rocnik-vtp/vtp-3-rocnik-termostaticke-ventily/_files/radiatorove-ventily.pdf</t>
  </si>
  <si>
    <t>http://www.conecterm.eu/cz/download.php?file=TU_termostaticky_ventil_Conecterm.pdf</t>
  </si>
  <si>
    <t>kg</t>
  </si>
  <si>
    <t>max</t>
  </si>
  <si>
    <t>odvození Kv</t>
  </si>
  <si>
    <t>kg/mm</t>
  </si>
  <si>
    <t>strmost</t>
  </si>
  <si>
    <t>bar/K</t>
  </si>
  <si>
    <t>z vlastností termoventilu při odhadovaném vnitřním průměru 13,5 mm vyplývá:</t>
  </si>
  <si>
    <t>barů</t>
  </si>
  <si>
    <t>teplota členu 19,5°C, je nastavena hodnota:</t>
  </si>
  <si>
    <t>bar</t>
  </si>
  <si>
    <t>průtok konstantní cca 60 l/hod</t>
  </si>
  <si>
    <t>mm efektivní průměr</t>
  </si>
  <si>
    <t>tlak potřebný k zachování průtoku</t>
  </si>
  <si>
    <t>tlak na osičku termoventilu</t>
  </si>
  <si>
    <t>vlastnosti termoventilu:</t>
  </si>
  <si>
    <t xml:space="preserve">1,5 kg na 1 bar </t>
  </si>
  <si>
    <t>https://forum.tzb-info.cz/117607-presnost-termostaticke-hlavice/vsechny-prispevky</t>
  </si>
  <si>
    <t>krásná ukázka matení pojmů:</t>
  </si>
  <si>
    <t>7 °C 9,5 °C 14 °C 17 °C 20 °C 23 °C 26 °C 28 °C</t>
  </si>
  <si>
    <t>Ve skutečnosti je nižší o tuhost kovového válce. Ta také není nekonečná.</t>
  </si>
  <si>
    <t>http://cz.danfoss.com/PCMPDF/Bro%C5%BEura%20-%20Odborn%C3%A9%20technick%C3%A9%20informace%20NOVA%202013.pdf</t>
  </si>
  <si>
    <t>řady:</t>
  </si>
  <si>
    <t>reálně zjištěno:</t>
  </si>
  <si>
    <t>závislost na tloušťce stěny teoreticky 0   pak   0,5 mm a  konečně 1 mm</t>
  </si>
  <si>
    <t>zdá se, že vyrobeno z plechu tloušťky 0,5 mm</t>
  </si>
  <si>
    <t>beton</t>
  </si>
  <si>
    <t>tuhost akčního členu</t>
  </si>
  <si>
    <t>MPa</t>
  </si>
  <si>
    <t>cm</t>
  </si>
  <si>
    <t>cm2</t>
  </si>
  <si>
    <t>cm3</t>
  </si>
  <si>
    <t>na 1K</t>
  </si>
  <si>
    <t>aceton</t>
  </si>
  <si>
    <t>N/mm</t>
  </si>
  <si>
    <t>N/K</t>
  </si>
  <si>
    <t>změna (MPa)</t>
  </si>
  <si>
    <t>tuhost</t>
  </si>
  <si>
    <t>převod 1ku</t>
  </si>
  <si>
    <t>pruměr vlnovce</t>
  </si>
  <si>
    <t>plocha vlnovce</t>
  </si>
  <si>
    <t>zdvih vlnovce</t>
  </si>
  <si>
    <t>změna na 1K</t>
  </si>
  <si>
    <t>roztažnost</t>
  </si>
  <si>
    <t>objem</t>
  </si>
  <si>
    <t>benzín odhad hmotnosti</t>
  </si>
  <si>
    <t>vzduch</t>
  </si>
  <si>
    <t>voda</t>
  </si>
  <si>
    <t>kg/m3</t>
  </si>
  <si>
    <t>plocha cm2</t>
  </si>
  <si>
    <t>změna cm3</t>
  </si>
  <si>
    <t>roztažnost:</t>
  </si>
  <si>
    <t>Ethylacetát</t>
  </si>
  <si>
    <t>cm je ekvivalentní průměr vnitřního vlnovce</t>
  </si>
  <si>
    <t>stlačitelnost vody, odvození rychlosti zvuku</t>
  </si>
  <si>
    <t>cm/K</t>
  </si>
  <si>
    <r>
      <t>[ J.kg</t>
    </r>
    <r>
      <rPr>
        <b/>
        <vertAlign val="superscript"/>
        <sz val="7.5"/>
        <color theme="1"/>
        <rFont val="Calibri"/>
        <family val="2"/>
        <charset val="238"/>
        <scheme val="minor"/>
      </rPr>
      <t>-1</t>
    </r>
    <r>
      <rPr>
        <b/>
        <sz val="11"/>
        <color theme="1"/>
        <rFont val="Calibri"/>
        <family val="2"/>
        <charset val="238"/>
        <scheme val="minor"/>
      </rPr>
      <t>.K</t>
    </r>
    <r>
      <rPr>
        <b/>
        <vertAlign val="superscript"/>
        <sz val="7.5"/>
        <color theme="1"/>
        <rFont val="Calibri"/>
        <family val="2"/>
        <charset val="238"/>
        <scheme val="minor"/>
      </rPr>
      <t>-1</t>
    </r>
    <r>
      <rPr>
        <b/>
        <sz val="11"/>
        <color theme="1"/>
        <rFont val="Calibri"/>
        <family val="2"/>
        <charset val="238"/>
        <scheme val="minor"/>
      </rPr>
      <t>]</t>
    </r>
  </si>
  <si>
    <r>
      <t>[ .10</t>
    </r>
    <r>
      <rPr>
        <b/>
        <vertAlign val="superscript"/>
        <sz val="7.5"/>
        <color theme="1"/>
        <rFont val="Calibri"/>
        <family val="2"/>
        <charset val="238"/>
        <scheme val="minor"/>
      </rPr>
      <t>-3</t>
    </r>
    <r>
      <rPr>
        <b/>
        <sz val="11"/>
        <color theme="1"/>
        <rFont val="Calibri"/>
        <family val="2"/>
        <charset val="238"/>
        <scheme val="minor"/>
      </rPr>
      <t> K</t>
    </r>
    <r>
      <rPr>
        <b/>
        <vertAlign val="superscript"/>
        <sz val="7.5"/>
        <color theme="1"/>
        <rFont val="Calibri"/>
        <family val="2"/>
        <charset val="238"/>
        <scheme val="minor"/>
      </rPr>
      <t>-1</t>
    </r>
    <r>
      <rPr>
        <b/>
        <sz val="11"/>
        <color theme="1"/>
        <rFont val="Calibri"/>
        <family val="2"/>
        <charset val="238"/>
        <scheme val="minor"/>
      </rPr>
      <t>]</t>
    </r>
  </si>
  <si>
    <t>http://hydraulika.fsv.cvut.cz/Hydraulika/Hydraulika/Predmety/HY2V/ke_stazeni/prednasky/HY2V_01_Fyzikalni_vlastnosti.pdf</t>
  </si>
  <si>
    <t>objem nádobky</t>
  </si>
  <si>
    <r>
      <t>c</t>
    </r>
    <r>
      <rPr>
        <b/>
        <vertAlign val="subscript"/>
        <sz val="7.5"/>
        <color theme="1"/>
        <rFont val="Calibri"/>
        <family val="2"/>
        <charset val="238"/>
        <scheme val="minor"/>
      </rPr>
      <t>20</t>
    </r>
  </si>
  <si>
    <r>
      <t>β</t>
    </r>
    <r>
      <rPr>
        <b/>
        <vertAlign val="subscript"/>
        <sz val="7.5"/>
        <color theme="1"/>
        <rFont val="Calibri"/>
        <family val="2"/>
        <charset val="238"/>
        <scheme val="minor"/>
      </rPr>
      <t>20</t>
    </r>
  </si>
  <si>
    <t>kapalina</t>
  </si>
  <si>
    <t>http://kabinet.fyzika.net/studium/tabulky/tepelna-kapacita-roztaznost.php</t>
  </si>
  <si>
    <t>https://www.oventrop.com/Pools/Files/hbtd/cs/db_1011465_cz_b6702763-41cd-4c8a-944a-1b7253f7c008.pdf</t>
  </si>
  <si>
    <t>tuhost vnitřního obsahu</t>
  </si>
  <si>
    <t>zatlačený</t>
  </si>
  <si>
    <t>volný</t>
  </si>
  <si>
    <t>Termohlavice zavřená na nezámrz při letních teplotách 27°C tlačí na dřík silou až 96 kg ( 960N)</t>
  </si>
  <si>
    <t>dřík</t>
  </si>
  <si>
    <t>nárůst pružiny</t>
  </si>
  <si>
    <t>z listu termohlavice1:</t>
  </si>
  <si>
    <t>mm zdvih</t>
  </si>
  <si>
    <t>K zdvih</t>
  </si>
  <si>
    <t>K</t>
  </si>
  <si>
    <t>min</t>
  </si>
  <si>
    <t>klidový posun:</t>
  </si>
  <si>
    <t>patka</t>
  </si>
  <si>
    <t>proti matce M30 (mm)</t>
  </si>
  <si>
    <t>*</t>
  </si>
  <si>
    <t>skutečná poloha/teplota</t>
  </si>
  <si>
    <t>vložka</t>
  </si>
  <si>
    <t>Testováno otáčení hlavice. Teplota probíhá naopak.</t>
  </si>
  <si>
    <t>20°C</t>
  </si>
  <si>
    <t>mechanická konstrukce termoventilu:</t>
  </si>
  <si>
    <t>Zdvih termohlavice v závislosti na teplotě    mm/°C</t>
  </si>
  <si>
    <t xml:space="preserve">Honeywell </t>
  </si>
  <si>
    <t>Přehledné pole výkonů:</t>
  </si>
  <si>
    <t>vnější (mm)</t>
  </si>
  <si>
    <t>světlost (mm)</t>
  </si>
  <si>
    <t>stěna (mm)</t>
  </si>
  <si>
    <t>vztah</t>
  </si>
  <si>
    <t>možná zaokr.</t>
  </si>
  <si>
    <t>jiný</t>
  </si>
  <si>
    <t>Airfel</t>
  </si>
  <si>
    <t>Kč</t>
  </si>
  <si>
    <t>Kč/kW</t>
  </si>
  <si>
    <t>https://www.aaaradiatory.cz/deskovy-radiator-airfel-klasik-33-900-1200-max-vykon-5006-w-p374/</t>
  </si>
  <si>
    <t>https://www.aaaradiatory.cz/deskovy-radiator-korado-radik-klasik-33-900-1100-max-vykon-3661-w-p11687/</t>
  </si>
  <si>
    <t>v</t>
  </si>
  <si>
    <t>h</t>
  </si>
  <si>
    <t>ztráta</t>
  </si>
  <si>
    <t>[kJ/kg]</t>
  </si>
  <si>
    <t>[kg/m³]</t>
  </si>
  <si>
    <t>[m³/kg]</t>
  </si>
  <si>
    <t>[°C]</t>
  </si>
  <si>
    <t>[MPa]</t>
  </si>
  <si>
    <t>r = h" - h'</t>
  </si>
  <si>
    <t>h'</t>
  </si>
  <si>
    <t>h"</t>
  </si>
  <si>
    <t>ρ"</t>
  </si>
  <si>
    <t>v"</t>
  </si>
  <si>
    <t>p</t>
  </si>
  <si>
    <t>Výparné teplo</t>
  </si>
  <si>
    <t>kapaliny</t>
  </si>
  <si>
    <t xml:space="preserve"> entalpie</t>
  </si>
  <si>
    <t>Měrná</t>
  </si>
  <si>
    <t xml:space="preserve"> páry</t>
  </si>
  <si>
    <t>entalpie</t>
  </si>
  <si>
    <t>hmotnost</t>
  </si>
  <si>
    <t>Měrný</t>
  </si>
  <si>
    <t>páry</t>
  </si>
  <si>
    <t>Teplota</t>
  </si>
  <si>
    <t>Vlastnosti syté vodní páry při daném tlakuTlak páry</t>
  </si>
  <si>
    <t>zrychlení:</t>
  </si>
  <si>
    <t>výška (m)</t>
  </si>
  <si>
    <t>dT varu</t>
  </si>
  <si>
    <t>Výpočet Kv ventilu, voda:</t>
  </si>
  <si>
    <t>hustota</t>
  </si>
  <si>
    <t>(mm) průměr</t>
  </si>
  <si>
    <t>výška(m) - dostřel</t>
  </si>
  <si>
    <t>Kv / odm hust</t>
  </si>
  <si>
    <t>kontrola</t>
  </si>
  <si>
    <t>mm2 průřez</t>
  </si>
  <si>
    <t>odvození pro 50°C</t>
  </si>
  <si>
    <t>mm vn.pr</t>
  </si>
  <si>
    <t>http://kondenzace.kvalitne.cz/vypocet-topne-soustavy-radiatoru/</t>
  </si>
  <si>
    <t>sumy</t>
  </si>
  <si>
    <t>2koup</t>
  </si>
  <si>
    <t>2kucg</t>
  </si>
  <si>
    <t>2pok2</t>
  </si>
  <si>
    <t>2pok1</t>
  </si>
  <si>
    <t>1koup</t>
  </si>
  <si>
    <t>1chodba</t>
  </si>
  <si>
    <t>1obyv2</t>
  </si>
  <si>
    <t>1obyv1</t>
  </si>
  <si>
    <t>1loz</t>
  </si>
  <si>
    <t>sumy:</t>
  </si>
  <si>
    <t>4z3</t>
  </si>
  <si>
    <t>3z3</t>
  </si>
  <si>
    <t>2z3</t>
  </si>
  <si>
    <t>mm vnitř, pr</t>
  </si>
  <si>
    <t>10°C</t>
  </si>
  <si>
    <t>1z3</t>
  </si>
  <si>
    <t>4z2</t>
  </si>
  <si>
    <t>3z2</t>
  </si>
  <si>
    <t>2z2</t>
  </si>
  <si>
    <t>1z2</t>
  </si>
  <si>
    <t>Zpracované tabulky z:</t>
  </si>
  <si>
    <t>4z1</t>
  </si>
  <si>
    <t>3z1</t>
  </si>
  <si>
    <t>2z1</t>
  </si>
  <si>
    <t>1z1</t>
  </si>
  <si>
    <t>Kv ventil</t>
  </si>
  <si>
    <t>Kv trubka</t>
  </si>
  <si>
    <t>kPa ventil</t>
  </si>
  <si>
    <t>kPa trubka</t>
  </si>
  <si>
    <t>17 x 2</t>
  </si>
  <si>
    <t>m rozteč</t>
  </si>
  <si>
    <t>https://forum.tzb-info.cz/147121-poradit-s-kotel-viessman</t>
  </si>
  <si>
    <t>kg/min</t>
  </si>
  <si>
    <t>http://kondenzace.kvalitne.cz/kks/navrh-radiatoru-a-stoupacek-vzor.xlsx</t>
  </si>
  <si>
    <t>Kv trubek + souvisejících ventilů</t>
  </si>
  <si>
    <t>S přesností cca 5% platí vztah tlak = průtok na 1,73 děleno vnitř průměr na 4,65</t>
  </si>
  <si>
    <t>list podlahy</t>
  </si>
  <si>
    <t>S vyšší teplotou se tlak snižuje. Z 10°C na 80°C až o 20%</t>
  </si>
  <si>
    <t>W/mK   Vodivost betonové části kolem metrového úseku. je nepřímo úměrná úhlopříčce.</t>
  </si>
  <si>
    <t>W/m2K   Teplotní spád x průtok x tepelná kapacita vody děleno plochou podlahy.</t>
  </si>
  <si>
    <t>J  Kapacita vody proteklé úsekem za sekundu</t>
  </si>
  <si>
    <t>konc bod Vypočtený pokles teploty trubky. Exponent délky x ztráty dělený kapacitou.</t>
  </si>
  <si>
    <t>m/s rychlost   průtok  dělený průřezem.</t>
  </si>
  <si>
    <t>l/min S přesností cca 5% platí vztah tlak = 5000 x délka x průtok na 1,73 děleno vnitř průměr na 4,65  Teplota vody 20-40°C</t>
  </si>
  <si>
    <t>rozteč</t>
  </si>
  <si>
    <t>W/m2K dle rozteče. Teoreticky 10W/m2K 15 cm rozteč 5W/m2K</t>
  </si>
  <si>
    <t>W/K</t>
  </si>
  <si>
    <t>Chladící výkon trubky je počítán jen na jednu stranu modelu. Skutečný je na obě strany, tedy dvojnásobný!!!</t>
  </si>
  <si>
    <t>Topný výkon podlahy v závislosti na rozteči. 0,075 m -tedy 15 cm - topí 5,1 W/m2K.</t>
  </si>
  <si>
    <t>okolí trubky - na jednu stranu</t>
  </si>
  <si>
    <t>W/m pravá</t>
  </si>
  <si>
    <t>W/m levá</t>
  </si>
  <si>
    <t>W/m</t>
  </si>
  <si>
    <t>R</t>
  </si>
  <si>
    <t>vodivosti  úseků</t>
  </si>
  <si>
    <t>L</t>
  </si>
  <si>
    <t>rychlost proudění</t>
  </si>
  <si>
    <t>20 cm rozteč, uvažován i vliv sousední trubky</t>
  </si>
  <si>
    <t>20 cm rozteč, běžné ochlazování.</t>
  </si>
  <si>
    <t>15 cm rozteč, uvažován i vliv sousední trubky</t>
  </si>
  <si>
    <t>15 cm rozteč, běžné ochlazování.</t>
  </si>
  <si>
    <t>Až o 16% vyšší chadivost rozestupu 20 proti 15</t>
  </si>
  <si>
    <t>W/m levá - polovina trubky</t>
  </si>
  <si>
    <t>2) Na modelovém případu deseti úseků jsou detailně započtena vodivost k okolí i vodivost k sousední trubce. Z výsledků vyplývá, že ohřívání zpátečky je pro spád do 50%zanedbatelné a nemá význam ji počítat.</t>
  </si>
  <si>
    <t>1) nahoře je v levo detailní teplotní pole dvou trubek s roztečí v 15 cm úseku vysokém 7 cm , vpravo s roztečí 20 cm. Z nich jsou odvozeny vzájemné vazby. Lze je popsat jako nepřímou úměru dostupné úhlopříčky.</t>
  </si>
  <si>
    <t>kontrolní součet</t>
  </si>
  <si>
    <t>procent toku</t>
  </si>
  <si>
    <t>W:</t>
  </si>
  <si>
    <t>c</t>
  </si>
  <si>
    <t>cm:</t>
  </si>
  <si>
    <t>připojení okolí s vodivostí 10W/m2K odpovídá 10 cm betonu.(sloupec T8-T14)</t>
  </si>
  <si>
    <t>připojení okolí s vodivostí 10W/m2K odpovídá 10 cm betonu (sloupec Q8-Q14)</t>
  </si>
  <si>
    <t>betonová podlaha 6 cm, rozteč 20 cm. 1W/mK beton a 10W/m2K směrem do místnosti</t>
  </si>
  <si>
    <t>betonová podlaha 6 cm, rozteč 15 cm. 1W/mK beton a 10W/m2K směrem do místnosti</t>
  </si>
  <si>
    <t>Já počítám 60 mm a vodivost 1W/mK</t>
  </si>
  <si>
    <t>zadávejte pouze!! žlutá pole A1,A2,A3.</t>
  </si>
  <si>
    <t>ale mají tloušťku betonu 45 mm a vodivost 1,2W/mK</t>
  </si>
  <si>
    <t>°C pravá trubka</t>
  </si>
  <si>
    <t>odečítáme pro tyto případy výkony o 7% vyšší</t>
  </si>
  <si>
    <t>°C levá trubka</t>
  </si>
  <si>
    <t>https://forum.tzb-info.cz/144929-experimentalni-podlahove-topeni-prevratne-reseni/vsechny-prispevky#text64</t>
  </si>
  <si>
    <t>z nomogramů</t>
  </si>
  <si>
    <t>kPa je ztráta přívodními trubkami.</t>
  </si>
  <si>
    <t>kPa čerpadlo</t>
  </si>
  <si>
    <t>jiná stavba:</t>
  </si>
  <si>
    <t>Kv trubka/ventil</t>
  </si>
  <si>
    <t>5 až 20 kPa trubka 8 až 19 mm 15m2 0,15m rozteč</t>
  </si>
  <si>
    <t>Předběžně vychází jako nejlepší teplotní spád na cca 0,45 až 0,48. Např ze 40°C na 29,5°C při vytápění na 20°C</t>
  </si>
  <si>
    <t>20pr13</t>
  </si>
  <si>
    <t>Výkon W/m2K v závislosti na tlaku 5 až 20 kPa 15 m2 trubka 13 mm</t>
  </si>
  <si>
    <t>rozt.</t>
  </si>
  <si>
    <t>Výkon W/m2K v závislosti na tlaku 5 až 20 kPa 30 m2 trubka 13 mm</t>
  </si>
  <si>
    <t>Výkon W/m2K v závislosti na tlaku 5 až 20 kPa 7,5 m2 trubka 13 mm</t>
  </si>
  <si>
    <t>list výpocet PT</t>
  </si>
  <si>
    <t>Výpočet teplotního spádu jednotlivých úseků trubky. 0přítok až 10 konec.</t>
  </si>
  <si>
    <t>levá</t>
  </si>
  <si>
    <t>pravá</t>
  </si>
  <si>
    <t>přenos vzduchu</t>
  </si>
  <si>
    <t>přenos betonu</t>
  </si>
  <si>
    <t>topný výkon na 1m délky trubky</t>
  </si>
  <si>
    <t>st</t>
  </si>
  <si>
    <t>W na 1m délkyz plochy</t>
  </si>
  <si>
    <t>start</t>
  </si>
  <si>
    <t>5 pr13 ch</t>
  </si>
  <si>
    <t>5 pr13 t</t>
  </si>
  <si>
    <t>20pr13 ch</t>
  </si>
  <si>
    <t>20pr13 t</t>
  </si>
  <si>
    <t>delka</t>
  </si>
  <si>
    <t>Závislost na ploše podlahy. Pro tlak 10 kPa volíme rozteč.</t>
  </si>
  <si>
    <t>Závislost koncové teploty na délce a rozteči. Závislost měrného výkonu na délce.</t>
  </si>
  <si>
    <t>https://vytapeni.tzb-info.cz/podlahove-vytapeni/3449-podlahove-vytapeni-iii</t>
  </si>
  <si>
    <t>top</t>
  </si>
  <si>
    <t>chlaz</t>
  </si>
  <si>
    <t>konst má význam přímého násobku výkonu</t>
  </si>
  <si>
    <t>délka představuje ideální délku vodivosti. 10W/m2K = 10 cm + 8 cm podlaha = 0,18m. 5W/m2K = 20 cm betonu + 4 cm podlaha = 0,24m</t>
  </si>
  <si>
    <t>přepočet efektivní úhlopříčky betonu pro topení  (C)a chlazení (D) Zadejte do B87 a B88  ručně</t>
  </si>
  <si>
    <t>10W/m2K topení</t>
  </si>
  <si>
    <t>5W/m2K chlazení</t>
  </si>
  <si>
    <t>10W/m2K výpočet z 15 a 20 cm</t>
  </si>
  <si>
    <t>12W/m2K topení</t>
  </si>
  <si>
    <t>hodnoty dle Doc. Bašty</t>
  </si>
  <si>
    <t>je sice dobrý popis problematiky, ale poskytuje výsledky až o 50% lepší, než je</t>
  </si>
  <si>
    <t>teoreticky možné. A to i když počítám topný výkon podlahy 12W/m2K</t>
  </si>
  <si>
    <t xml:space="preserve">vzorový příklad teplotního průběhu podlahy </t>
  </si>
  <si>
    <t>°C topná voda</t>
  </si>
  <si>
    <t>rozteč m</t>
  </si>
  <si>
    <t>dvojitá spirála po celé místnosti</t>
  </si>
  <si>
    <t>dvojitá spirála pod oknem - 40% a dvojitá spirála ve zbytku místnosti</t>
  </si>
  <si>
    <t>maximální topný výkon W/m2K</t>
  </si>
  <si>
    <t>střední topný výkon W/m2K</t>
  </si>
  <si>
    <t>poměr výkonů</t>
  </si>
  <si>
    <t>m celkem</t>
  </si>
  <si>
    <t>úsek</t>
  </si>
  <si>
    <t>procent zlepšení snížením o 5 cm</t>
  </si>
  <si>
    <t>střední topný výkon W/m2K 20 kPa</t>
  </si>
  <si>
    <t>výška zalití 6 cm, rozteč m</t>
  </si>
  <si>
    <t>W/K má rovnoměrně kladená podlaha s plochou 15m2, roztečí 0,2m a délkou trubky 75m</t>
  </si>
  <si>
    <t>W/K má nerovnoměrně kladená podlaha s plochou 15m2, roztečí 0,1 až 0,3m a délkou trubky 75m</t>
  </si>
  <si>
    <t>délka trubky m</t>
  </si>
  <si>
    <t>Regulace výkonu zhušťováním je kontraproduktivní. V modelovém příkladu podlahy 3,9 x 3,9 =15m2 zhuštění rozteče na 10 cm s rozšířením na 30 cm vychází celkový topný výkon</t>
  </si>
  <si>
    <t xml:space="preserve">o 5% nižší proti rovnoměrnému kladení trubek. Proto je lepší začít jednoduchým meandrem, ještě lépe samostatnou dvojitou spirálou  pod okny a pak pokračovat další dvojitou spirálou po zbytku místnosti. </t>
  </si>
  <si>
    <t>list roztec</t>
  </si>
  <si>
    <t>https://forum.tzb-info.cz/147500-volba-kotle-na-drevo/vsechny-prispevky#text149</t>
  </si>
  <si>
    <t>Z následující tabulky vyplývá, že je možno dosáhnout lepších přenosových vlastností , než vyplývá z fyzikálních vlastností betonu a vlastností sálání. Navýšení 23 až 54%</t>
  </si>
  <si>
    <t>Je možné, že je to počítané pro anhydrit. - ověřit - dopočítat.</t>
  </si>
  <si>
    <r>
      <t xml:space="preserve">Anhydrit - Součinitel </t>
    </r>
    <r>
      <rPr>
        <i/>
        <sz val="11"/>
        <color theme="1"/>
        <rFont val="Calibri"/>
        <family val="2"/>
        <charset val="238"/>
        <scheme val="minor"/>
      </rPr>
      <t>tepelné vodivosti</t>
    </r>
    <r>
      <rPr>
        <sz val="11"/>
        <color theme="1"/>
        <rFont val="Calibri"/>
        <family val="2"/>
        <charset val="238"/>
        <scheme val="minor"/>
      </rPr>
      <t>, λ = 1,2 W.m</t>
    </r>
    <r>
      <rPr>
        <vertAlign val="superscript"/>
        <sz val="11"/>
        <color theme="1"/>
        <rFont val="Calibri"/>
        <family val="2"/>
        <charset val="238"/>
        <scheme val="minor"/>
      </rPr>
      <t>-1</t>
    </r>
    <r>
      <rPr>
        <sz val="11"/>
        <color theme="1"/>
        <rFont val="Calibri"/>
        <family val="2"/>
        <charset val="238"/>
        <scheme val="minor"/>
      </rPr>
      <t>K</t>
    </r>
    <r>
      <rPr>
        <vertAlign val="superscript"/>
        <sz val="11"/>
        <color theme="1"/>
        <rFont val="Calibri"/>
        <family val="2"/>
        <charset val="238"/>
        <scheme val="minor"/>
      </rPr>
      <t>-1</t>
    </r>
    <r>
      <rPr>
        <sz val="11"/>
        <color theme="1"/>
        <rFont val="Calibri"/>
        <family val="2"/>
        <charset val="238"/>
        <scheme val="minor"/>
      </rPr>
      <t>.</t>
    </r>
  </si>
  <si>
    <t>rozteč mm</t>
  </si>
  <si>
    <t>a</t>
  </si>
  <si>
    <t>Tabulkové hodnoty jsou cca 1,23x až 1,54x lepší, než teoretický výpočet šíření tepla betonem tloušťky 6 cm.</t>
  </si>
  <si>
    <t>Mohou být pro anhydrit - výraznější nárůst pro větší rozteče.</t>
  </si>
  <si>
    <t>Teplotní spád je vždy brán jako rozdíl střední teploty vody a teploty místnosti.</t>
  </si>
  <si>
    <t>Ideální podlahovka dosahuje 10 W/m2K - jen přenos povrch podlahy - okolí sáláním a konvekcí.</t>
  </si>
  <si>
    <t>do listu plošný model je přenešen výsledek v podobě tlouštka betonu + polovina rozteče. Výpočet je tedy o 5 cm betonu horší, než realita a respektuje spíše nátokovou teplotu, než teplotu střední.</t>
  </si>
  <si>
    <t xml:space="preserve">http://forum.tzb-info.cz/140830-podlahovka-versus-radiatory/vsechny-prispevky#text50 </t>
  </si>
  <si>
    <t>Vodivost</t>
  </si>
  <si>
    <t>keramika pro dT</t>
  </si>
  <si>
    <t>m2K/W</t>
  </si>
  <si>
    <t>(W/m2K)</t>
  </si>
  <si>
    <t>pro 100W/m2</t>
  </si>
  <si>
    <t>kladení trubek</t>
  </si>
  <si>
    <t>topný výkon pro dT10K</t>
  </si>
  <si>
    <t>topný výkon pro dT 20K</t>
  </si>
  <si>
    <t>poměr 10K/20K</t>
  </si>
  <si>
    <t>rozteč cm</t>
  </si>
  <si>
    <t>W/(m2K)</t>
  </si>
  <si>
    <t>W/(m2K) po odečtení povrchového sdílení 10W/(m2K)</t>
  </si>
  <si>
    <t>m2K/W po odečtení povrchového sdílení 10W/(m2K)</t>
  </si>
  <si>
    <t>cm betonu</t>
  </si>
  <si>
    <t>W/(m2K) z listu plošný model</t>
  </si>
  <si>
    <t>jako cm betonu</t>
  </si>
  <si>
    <t>parkety</t>
  </si>
  <si>
    <t>Střední dráha z vody k povrchu je počítána jako 9,7 cm betonu + cca polovina rozteče.</t>
  </si>
  <si>
    <t>tedy pro rozteč 5 cm je střední dráha 12,35 cm betonu , pro rozteč 15 cm je střední dráha 17,65 cm betonu</t>
  </si>
  <si>
    <t>a pro rozteč 30 cm je 25,6 cm betonu.</t>
  </si>
  <si>
    <t>Nášlapná vrstva je počítána v případě parkety jako 8 mm dřeva.</t>
  </si>
  <si>
    <t>tenký koberec jako 15 mm dřeva a tlustý koberec jako 23 mm dřeva s vodivostí 0,13 W/(mK)</t>
  </si>
  <si>
    <t>lehký koberec</t>
  </si>
  <si>
    <t>Z hlediska teplot namáhajících polystyren pod podlahou je podstatný průměrný teplotní spád daný přenášeným výkonem.</t>
  </si>
  <si>
    <t>Výpočet vrstev je tedy v pořádku, pouze pro teplotu vody je třeba přičíst několikanásobek teplotního spádu v podlahové nosné vrstvě.</t>
  </si>
  <si>
    <t xml:space="preserve">např. podlaha s roztečí 15 cm, 100W/m2 povrch 30°C, stěny 20°C, nátok 40°C, vratka 30°C. </t>
  </si>
  <si>
    <t>tlustý koberec</t>
  </si>
  <si>
    <t>data z jiných zdrojů:</t>
  </si>
  <si>
    <t>https://vytapeni.tzb-info.cz/17807-modelovani-a-ovladani-vnitrnich-teplot-aplikaci-matlab-simulink-pomoci-modelu-prostoru-a-prenosovych-funkci</t>
  </si>
  <si>
    <t>Material</t>
  </si>
  <si>
    <t>Thickness</t>
  </si>
  <si>
    <t>Thermal conductivity</t>
  </si>
  <si>
    <t>Specific heat capacity</t>
  </si>
  <si>
    <t>Density</t>
  </si>
  <si>
    <t>[W/m.K]</t>
  </si>
  <si>
    <t>[J/kg.K]</t>
  </si>
  <si>
    <r>
      <t>[kg/m</t>
    </r>
    <r>
      <rPr>
        <b/>
        <vertAlign val="superscript"/>
        <sz val="11"/>
        <color theme="1"/>
        <rFont val="Calibri"/>
        <family val="2"/>
        <charset val="238"/>
        <scheme val="minor"/>
      </rPr>
      <t>3</t>
    </r>
    <r>
      <rPr>
        <b/>
        <sz val="11"/>
        <color theme="1"/>
        <rFont val="Calibri"/>
        <family val="2"/>
        <charset val="238"/>
        <scheme val="minor"/>
      </rPr>
      <t>]</t>
    </r>
  </si>
  <si>
    <t>cihla</t>
  </si>
  <si>
    <t>x</t>
  </si>
  <si>
    <t>dT 20K</t>
  </si>
  <si>
    <t>keramika</t>
  </si>
  <si>
    <t>Měrná vodivost PT  (W/m2K) v závislosti na rozteči (mm)</t>
  </si>
  <si>
    <t>Výsledky:</t>
  </si>
  <si>
    <t>je model betonu</t>
  </si>
  <si>
    <t>je převzatá keramika</t>
  </si>
  <si>
    <t>je těžký koberec</t>
  </si>
  <si>
    <t>model přepona</t>
  </si>
  <si>
    <t>model součet1</t>
  </si>
  <si>
    <t>model součet odvěsen</t>
  </si>
  <si>
    <t>nová tab-horší</t>
  </si>
  <si>
    <t>je keramika přesně</t>
  </si>
  <si>
    <t>je nová tabulka přesně</t>
  </si>
  <si>
    <t>zdroj - Konárik</t>
  </si>
  <si>
    <t>beton teoreticky</t>
  </si>
  <si>
    <t>keramika/beton</t>
  </si>
  <si>
    <t>konárik/beton</t>
  </si>
  <si>
    <t>https://i.koupelny-venta.cz/datafm/13319</t>
  </si>
  <si>
    <t>https://i.koupelny-venta.cz/obrazky/r999i-trubka-pex-al-pex-pro-vytapeni-a-rozvody-sanity-v-izolaci-135265.jpg</t>
  </si>
  <si>
    <t>rozměry - popis</t>
  </si>
  <si>
    <t>tlakové ztráty</t>
  </si>
  <si>
    <t xml:space="preserve">např 18x2 1500l/h = 600mm </t>
  </si>
  <si>
    <t xml:space="preserve">např 18x2 145l/h = 10mm </t>
  </si>
  <si>
    <t>1480 l/h z výpočtu</t>
  </si>
  <si>
    <t>139 l/h z výpočtu</t>
  </si>
  <si>
    <t>zpracovaný soubor tlakoveztratyr999.pdf</t>
  </si>
  <si>
    <t>60 l/hod 17x2 = 13 mm   40°C je 18,94 Pa/m</t>
  </si>
  <si>
    <t>zadat:</t>
  </si>
  <si>
    <t>kPa zpět = 25,31 x délka  x rychlost na 1,73 / průměr na 1,19 (TZB 26,4 x délka  x rychlost na 1,83 / průměr na 1,27)  ---- popis od pole AP151 tohoto listu</t>
  </si>
  <si>
    <t>nový giacomini 50°C</t>
  </si>
  <si>
    <t>nový giacomini 10°C</t>
  </si>
  <si>
    <t>exponent rychlosti</t>
  </si>
  <si>
    <t>exponent průměru</t>
  </si>
  <si>
    <t>Re</t>
  </si>
  <si>
    <t>viskozita</t>
  </si>
  <si>
    <t>drsnost (m)</t>
  </si>
  <si>
    <t>Kolmice jsou Re=4000</t>
  </si>
  <si>
    <t>Protech</t>
  </si>
  <si>
    <t>TZB 50°C</t>
  </si>
  <si>
    <t>pomer</t>
  </si>
  <si>
    <t>lambda podle vzorce Altšula https://cs.wikipedia.org/wiki/Sou%C4%8Dinitel_ztr%C3%A1ty_t%C5%99en%C3%ADm</t>
  </si>
  <si>
    <t>mmH2O podle vzorce Altšula https://cs.wikipedia.org/wiki/Sou%C4%8Dinitel_ztr%C3%A1ty_t%C5%99en%C3%ADm</t>
  </si>
  <si>
    <t>podle vzorce Altšula</t>
  </si>
  <si>
    <t>°C (zadej postupně 30 a 10°C)</t>
  </si>
  <si>
    <t>laminár</t>
  </si>
  <si>
    <t>poměr TZB/Altšula</t>
  </si>
  <si>
    <t>poměr TZB/laminár</t>
  </si>
  <si>
    <t>TZB patrně správně počítá laminární oblast pro trubku 14mm do 0,036 m/s. Od 0,05 m/s po 0,1 m/s počítá 0,73 skutečnosti a nad 0,18 m/s opět správně.</t>
  </si>
  <si>
    <t>mm H2O 35°C</t>
  </si>
  <si>
    <t>mm H2O lin 35°C</t>
  </si>
  <si>
    <t>dle vzorce Altšula 35°C</t>
  </si>
  <si>
    <t>mm H2O laminární</t>
  </si>
  <si>
    <t>laminární</t>
  </si>
  <si>
    <t>x=====================   Porovnání nomogramů, výpočet tlakové ztráty v závislosti na průměru, drsnosti, teploty vody z různých zdrojů ===============================</t>
  </si>
  <si>
    <t>kg/hod průtok</t>
  </si>
  <si>
    <t>°C zpátečka</t>
  </si>
  <si>
    <t>°C nátoková teplota</t>
  </si>
  <si>
    <t>x=========================== Optimalizace PT v závislosti na rozteči =================================================================</t>
  </si>
  <si>
    <t>vzorové příklady, analýzy</t>
  </si>
  <si>
    <t>10 kPa</t>
  </si>
  <si>
    <t>nátok 1000kPa</t>
  </si>
  <si>
    <t>Rentabilita dvojpodl domu , 2 x 90 m2 podlah, 11 okruhů , TZ 3,2 kW při 0°C , tedy 18 W/m2 (5 kW dT 30K)</t>
  </si>
  <si>
    <t>COP</t>
  </si>
  <si>
    <t>kWh/rok</t>
  </si>
  <si>
    <t xml:space="preserve"> tisíc Kč/rok</t>
  </si>
  <si>
    <t>24 Kč/metr</t>
  </si>
  <si>
    <t>let</t>
  </si>
  <si>
    <t>rozdíl</t>
  </si>
  <si>
    <t>Pokud zvolím rozteč 15 cm místo 20 cm, pak se mi vyšší náklady za trubky vrátí v lepším COPu za 83 let.</t>
  </si>
  <si>
    <t>Zadávat žlutá pole!!!!   12 modelových výpočtů podlah</t>
  </si>
  <si>
    <t>h:min čas průtoku</t>
  </si>
  <si>
    <t>5,9+0,575xnp</t>
  </si>
  <si>
    <t>16+2,5xnp</t>
  </si>
  <si>
    <t>LC170</t>
  </si>
  <si>
    <t>4,3+0,390xnp</t>
  </si>
  <si>
    <t>10+2,4xnp</t>
  </si>
  <si>
    <t>LC110</t>
  </si>
  <si>
    <t>2,6+0,242xnp</t>
  </si>
  <si>
    <t>9+2,4xnp</t>
  </si>
  <si>
    <t>LB60</t>
  </si>
  <si>
    <t>2,2+0,185xnp</t>
  </si>
  <si>
    <t>LB47</t>
  </si>
  <si>
    <t>1,4+0,124xnp</t>
  </si>
  <si>
    <t>LB31</t>
  </si>
  <si>
    <t>1,6+0,120xnp</t>
  </si>
  <si>
    <t>12+</t>
  </si>
  <si>
    <t>9+2,3x+np+</t>
  </si>
  <si>
    <t>16+</t>
  </si>
  <si>
    <t>42+</t>
  </si>
  <si>
    <t>432+</t>
  </si>
  <si>
    <t>LA34</t>
  </si>
  <si>
    <t>1,1+0,075xnp</t>
  </si>
  <si>
    <t>9+2,3xnp</t>
  </si>
  <si>
    <t>LA22</t>
  </si>
  <si>
    <t>0,7+0,045xnp</t>
  </si>
  <si>
    <t>LA14</t>
  </si>
  <si>
    <t>W/m2/K</t>
  </si>
  <si>
    <t>[kg]</t>
  </si>
  <si>
    <t>[dm3]</t>
  </si>
  <si>
    <t>[m2]</t>
  </si>
  <si>
    <t>mm]</t>
  </si>
  <si>
    <t>tloušťka desky</t>
  </si>
  <si>
    <t>kontr tloustka vody</t>
  </si>
  <si>
    <t>kontr plocha</t>
  </si>
  <si>
    <t>ks desek max.</t>
  </si>
  <si>
    <t>objem jednoho kanálu</t>
  </si>
  <si>
    <t>plocha desky</t>
  </si>
  <si>
    <t>zadní špuntík</t>
  </si>
  <si>
    <t>rovnice sloupce desek</t>
  </si>
  <si>
    <t>výška nátrubku</t>
  </si>
  <si>
    <t>vodorovná vzdálenost středů přívodů</t>
  </si>
  <si>
    <t>svislá vzdálenost středů přívodů</t>
  </si>
  <si>
    <t>šířka mm</t>
  </si>
  <si>
    <t>výška výměníku mm</t>
  </si>
  <si>
    <t>W/m/K</t>
  </si>
  <si>
    <t>kW/m2/K</t>
  </si>
  <si>
    <t>K rozdíl</t>
  </si>
  <si>
    <t>kW na desku</t>
  </si>
  <si>
    <t>30 desek, 2,2 kg, 33 kW</t>
  </si>
  <si>
    <t>cca 16 W/m/K</t>
  </si>
  <si>
    <t>https://www.armat.cz/pdf/specifikace-nerezovych-oceli-chemicke-slozeni.pdf</t>
  </si>
  <si>
    <t>https://dspace.cvut.cz/bitstream/handle/10467/84878/F2-DP-2019-Mala-Ruzena-Mala_Ruzena_Akcelerovane%20zihani%20tenkostennych%20nerezovych%20profilu.pdf</t>
  </si>
  <si>
    <t>https://www.bazenonline.cz/assets/eshop/products/7/3862/files/navod-na-deskove-vymeniky-obvd.pdf</t>
  </si>
  <si>
    <t>AISI 316L (WNR 1.4404)</t>
  </si>
  <si>
    <t>8 g/cm3</t>
  </si>
  <si>
    <t>https://cz.rs-online.com/web/p/trubky-z-nerezove-oceli/6614891/</t>
  </si>
  <si>
    <t>https://www.bazenonline.cz/deskovy-vymenik-secespol-ovbd-33-33kw</t>
  </si>
  <si>
    <t>https://www.reflex-winkelmann.com/reflexhex/?lang=cz</t>
  </si>
  <si>
    <t>m2 / přebytek</t>
  </si>
  <si>
    <t>Přenos při horní tlakové ztrátě kolem 20 kPa až 7 kW/(m2K)</t>
  </si>
  <si>
    <t>vzorek z kotle - průtokáč:</t>
  </si>
  <si>
    <t>kW/K</t>
  </si>
  <si>
    <t>rozteče</t>
  </si>
  <si>
    <t>m2 desek</t>
  </si>
  <si>
    <t>desek / kg celkem</t>
  </si>
  <si>
    <t>m2 celkem</t>
  </si>
  <si>
    <t>patrně LA14 , tedy 0,42 m2</t>
  </si>
  <si>
    <t>dT (K)</t>
  </si>
  <si>
    <t>Předběžně vychází výkon 33 kW pro teplotní spád 11K</t>
  </si>
  <si>
    <t>Tedy otopná voda např 51/36 a bazénová 25/40</t>
  </si>
  <si>
    <t>výška vody + plechu</t>
  </si>
  <si>
    <t>rozteč (m)</t>
  </si>
  <si>
    <t>°C požadovaná v místnosti</t>
  </si>
  <si>
    <t>W/m2 výkon podlahy - výkon dolů nepočítám, u 10 cm polystyrenu bývá 3W/m2 - u malých výkonů proveďte korekci nižší teplotou interiéru, např místo 20 jen 19,7°C</t>
  </si>
  <si>
    <t>30 kW ohřev vody s teplotním spádem 23,5 K Tedy z 80/60 vyrobí až 15/56,5</t>
  </si>
  <si>
    <t>l/hod OV</t>
  </si>
  <si>
    <t>tepelná vodivost W/K</t>
  </si>
  <si>
    <t>l/hod TUV</t>
  </si>
  <si>
    <t>přenášený výkon 1/10</t>
  </si>
  <si>
    <t>l/s OV</t>
  </si>
  <si>
    <t>vstupní teplota OV</t>
  </si>
  <si>
    <t>výstupní teplota TUV</t>
  </si>
  <si>
    <t>l/s TUV</t>
  </si>
  <si>
    <t>Celkové výkony W:</t>
  </si>
  <si>
    <t>1,27 kW/K je 80/60 na 37/57</t>
  </si>
  <si>
    <t>1,27 kW/K je 80/60 na 27/61</t>
  </si>
  <si>
    <t>https://vetrani.tzb-info.cz/teorie-a-vypocty-vetrani-klimatizace/3323-teorie-vlhkeho-vzduchu-i</t>
  </si>
  <si>
    <t>a pro teploty 0 až 200 °C platí:</t>
  </si>
  <si>
    <t>kde:</t>
  </si>
  <si>
    <t xml:space="preserve">C1 </t>
  </si>
  <si>
    <t xml:space="preserve">C2 </t>
  </si>
  <si>
    <t xml:space="preserve">C3 </t>
  </si>
  <si>
    <t xml:space="preserve">C4 </t>
  </si>
  <si>
    <t xml:space="preserve">C5 </t>
  </si>
  <si>
    <t xml:space="preserve">C6 </t>
  </si>
  <si>
    <t xml:space="preserve">C7 </t>
  </si>
  <si>
    <t xml:space="preserve">C8 </t>
  </si>
  <si>
    <t xml:space="preserve">C9 </t>
  </si>
  <si>
    <t xml:space="preserve">C10 </t>
  </si>
  <si>
    <t xml:space="preserve">C11 </t>
  </si>
  <si>
    <t xml:space="preserve">C12 </t>
  </si>
  <si>
    <t xml:space="preserve">C13 </t>
  </si>
  <si>
    <t>pom2r</t>
  </si>
  <si>
    <t>MPa na12</t>
  </si>
  <si>
    <t>než by odpovídalo turbulentnímu proudění.</t>
  </si>
  <si>
    <t>Při rychlostech pod 0,6 m/s dochází k laminárnímu proudění a o desítky % nižším ztrátám</t>
  </si>
  <si>
    <t>Vztahy odpovídají chování vody. Také rychlost na 1,75 lomeno průměr na 1,25</t>
  </si>
  <si>
    <t>plastové potrubí, 20°C vzduch</t>
  </si>
  <si>
    <t>komínový tah</t>
  </si>
  <si>
    <t>https://www.qpro.cz/Ztraty-trenim-ve-vzduchotechnickem-potrubi</t>
  </si>
  <si>
    <t>litrů/sec</t>
  </si>
  <si>
    <t>Baru</t>
  </si>
  <si>
    <t>samotný vodoměr</t>
  </si>
  <si>
    <t>vodoměr + 20 cm pračkové hadice</t>
  </si>
  <si>
    <t>za redukčákem</t>
  </si>
  <si>
    <t>hadice  20m  14mm/11mm</t>
  </si>
  <si>
    <t>odpovídá giacomini 11,5 mm - tedy hladší, než giacomini.</t>
  </si>
  <si>
    <t>podklady pro rozvod vody. teplá / studená</t>
  </si>
  <si>
    <t>sec/litr</t>
  </si>
  <si>
    <t>litr/sec</t>
  </si>
  <si>
    <t>pračkový roháček</t>
  </si>
  <si>
    <t>úsporná sprcha + bílá hadice 1m</t>
  </si>
  <si>
    <t>jen bílá hadice 1m</t>
  </si>
  <si>
    <t>bežná sprcha +1m bílá hadice</t>
  </si>
  <si>
    <t>1m bílá hadice</t>
  </si>
  <si>
    <t>roháček se zpětným ventilem při různých průtocích.</t>
  </si>
  <si>
    <t>1/Kv 2</t>
  </si>
  <si>
    <t>hadice 20 m</t>
  </si>
  <si>
    <t>zdroje:</t>
  </si>
  <si>
    <t>m výška</t>
  </si>
  <si>
    <t>kotel</t>
  </si>
  <si>
    <t>čerpadlo 600W</t>
  </si>
  <si>
    <t>Proč je pračkový roháček Kv 1,89?</t>
  </si>
  <si>
    <t>redukčák Jir</t>
  </si>
  <si>
    <t>15m palcová hadice</t>
  </si>
  <si>
    <t>jen roháček pračkový</t>
  </si>
  <si>
    <t>pračkový + 2,5 m palcové hadice</t>
  </si>
  <si>
    <t>jen pr roh</t>
  </si>
  <si>
    <t>LD - PH</t>
  </si>
  <si>
    <t>0,02 baru= 20 kPa ztráta</t>
  </si>
  <si>
    <t>PD-LH</t>
  </si>
  <si>
    <t>0,04 baru = 40 kPa ztráta</t>
  </si>
  <si>
    <t>výměník - swep</t>
  </si>
  <si>
    <t>prack hadice</t>
  </si>
  <si>
    <t>baru na hadici</t>
  </si>
  <si>
    <t>slanost vody</t>
  </si>
  <si>
    <t>https://cs.wikipedia.org/wiki/Salinita</t>
  </si>
  <si>
    <r>
      <t>Podíl soli v některých mořích</t>
    </r>
    <r>
      <rPr>
        <sz val="11"/>
        <color theme="1"/>
        <rFont val="Calibri"/>
        <family val="2"/>
        <charset val="238"/>
        <scheme val="minor"/>
      </rPr>
      <t>:</t>
    </r>
  </si>
  <si>
    <t>Mrtvé moře - 330 g/l</t>
  </si>
  <si>
    <t>Rudé moře - 42 g/l</t>
  </si>
  <si>
    <t>Středozemní moře - 38 g/l</t>
  </si>
  <si>
    <t>Černé moře - 19 g/l</t>
  </si>
  <si>
    <t>Baltské moře - 4 g/l</t>
  </si>
  <si>
    <t>http://www.analyzavody.cz/vlastnosti-vody/konduktivita/</t>
  </si>
  <si>
    <t>mS/m</t>
  </si>
  <si>
    <t>mg/l</t>
  </si>
  <si>
    <t>max pitná voda</t>
  </si>
  <si>
    <t>do</t>
  </si>
  <si>
    <t>od</t>
  </si>
  <si>
    <t>destilovaná</t>
  </si>
  <si>
    <t>http://uiozp.ft.utb.cz/studmat/2013820142334/T7TV072012.pdf</t>
  </si>
  <si>
    <t>Elektrická konduktivita roztoku KCl o koncentraci 0,01 mol·l-3</t>
  </si>
  <si>
    <t>0,7456 g KCl p. a. vysušeného při 105 °C a rozpuštěním v redestilované nebo demineralizované vodě a doplněním objemu přesně na jeden litr.</t>
  </si>
  <si>
    <t>(mS·m-1)</t>
  </si>
  <si>
    <t>uS/cm</t>
  </si>
  <si>
    <t>typicky 0,5 g solí/litr.</t>
  </si>
  <si>
    <t>gramů v topné vodě.</t>
  </si>
  <si>
    <t>http://www.zshk.cz/safra/SBIRKA_PRIKLADU/Konduktometrie.htm</t>
  </si>
  <si>
    <t>Objem NaOH [ml]</t>
  </si>
  <si>
    <t>měrná el. vodivost [mS/cm]</t>
  </si>
  <si>
    <t>měděné trubky 15 mm / 18 mm v sobě 1 m:</t>
  </si>
  <si>
    <t>plocha</t>
  </si>
  <si>
    <t>vzdálenost</t>
  </si>
  <si>
    <t>S</t>
  </si>
  <si>
    <t>Ohm 1m</t>
  </si>
  <si>
    <t>10 cm</t>
  </si>
  <si>
    <t>1 cm</t>
  </si>
  <si>
    <t>°C nátoková teplota:</t>
  </si>
  <si>
    <t>°C výst. teplota</t>
  </si>
  <si>
    <t>kPa tlak čerpadla</t>
  </si>
  <si>
    <t>W tělesa</t>
  </si>
  <si>
    <t>W celkem</t>
  </si>
  <si>
    <t>W kotel</t>
  </si>
  <si>
    <t>W radiátory</t>
  </si>
  <si>
    <t>Kv suma ventilů</t>
  </si>
  <si>
    <t>Kv u kotle</t>
  </si>
  <si>
    <t>export Ráž</t>
  </si>
  <si>
    <t>tlak (bar)</t>
  </si>
  <si>
    <t>litrů rozt.</t>
  </si>
  <si>
    <t>l/1000kg</t>
  </si>
  <si>
    <t>st C</t>
  </si>
  <si>
    <t>bar tlak při 20°C</t>
  </si>
  <si>
    <t>zadávejte žlutá pole!!!</t>
  </si>
  <si>
    <t>dopuštěno vody (l)</t>
  </si>
  <si>
    <t>litrů AKU+radiátorů</t>
  </si>
  <si>
    <t>rozdíl 4°C - 20°C (l)</t>
  </si>
  <si>
    <t>exp vody</t>
  </si>
  <si>
    <t>exp nádrž</t>
  </si>
  <si>
    <t>m/s rychlost</t>
  </si>
  <si>
    <t>Pa tlaková ztráta</t>
  </si>
  <si>
    <t>kg/m3 hustota</t>
  </si>
  <si>
    <t>Tedy vnitřní průměr ne 11 mm ale 3 mm.  Blíže doložit.</t>
  </si>
  <si>
    <t>vodivost 18W/K tj deskový 0,9 m2</t>
  </si>
  <si>
    <t>1 kW deskový radiátor odzhora dolů</t>
  </si>
  <si>
    <t>1 kW Radiátor odzhora dolů</t>
  </si>
  <si>
    <t>Zpátečka o 14 stupňů chladnější významně ovlivní režim kondenzace a současně je trvale dostupná horká OV pro dostatek ohřevu TUV. To vše současně s vysokou kondenzací.</t>
  </si>
  <si>
    <t>Ale můžeme také zvolit teplotu 80/28 při 6x pomalejším oběhu.</t>
  </si>
  <si>
    <t>Pokud nepotřebujeme maximální výkon, ale stačí nám třetinový, můžeme nechat obíhat vodu 50/42 rychlostí 0,011 l/s do kilowattového radiátoru.</t>
  </si>
  <si>
    <t>tentýž výkon lze dosáhnout oběhem 5x větším, tedy 0,01l/s s teplotami 50/40.</t>
  </si>
  <si>
    <t>pokud radiátor omezíme termoventilem, usadí se v režimu s průtokem 0,002 l/s  a teplotami 80/28 s výkonem 440 W, tedy téměř polovina.</t>
  </si>
  <si>
    <t>pokud radiátor provozujeme v režimu 90/70, získáme výkon 1 kW průtokem 0,012 l/s a teplotami 80/60</t>
  </si>
  <si>
    <t>výkon W</t>
  </si>
  <si>
    <t>Závěr radiátory:</t>
  </si>
  <si>
    <t>rychlost m/s</t>
  </si>
  <si>
    <t>Rychlost v trubkách je počítána z průtoku OV.</t>
  </si>
  <si>
    <t>Rychlost proudění v přípojných trubkách. Neměla by přesáhnout 0,5 m/s.</t>
  </si>
  <si>
    <t>l/min OV</t>
  </si>
  <si>
    <t>vodivost, toto číslo se napíše o 4 buňky níž.</t>
  </si>
  <si>
    <t>Výkon radiátoru W</t>
  </si>
  <si>
    <t>Popis výpočetního mechanismu je na řádcích 93 - 106</t>
  </si>
  <si>
    <t>Pokud někde objevíte chybu nebo je něco nedostatečně popsáno, prosím pište josvav@volny.cz     , poděkuji a opravím.</t>
  </si>
  <si>
    <t xml:space="preserve">Výpočet postihuje ustálený stav. </t>
  </si>
  <si>
    <t>Výpočet teplot "o patro níž" ve sloupcích C a F se vypočte podle výkonu ve sloupci E dle zákona o zachování energie.</t>
  </si>
  <si>
    <t>Sloupec G: zadejte rychlost proudění výstupního média. V případě bojlerů a spalinových výměníků má reálný význam, v případě vzduchu neznamená násilné ofukování, jen nastavení potřebného teplotního rozdílu vzduchu pod a nad radiátorem.</t>
  </si>
  <si>
    <t>Sloupec F: Zadejte teplotu výstupního média ( potřebná teplota TUV, potřebná teplota vzduchu místnosti. V případě výpočtu spalinového výměníku kotle je zde výstupní teplota OV.</t>
  </si>
  <si>
    <t>Sloupec E:  podle vzorce rozdíl teplot násobený desetinou vodivosti =(C113-F113)*D113/10  se vypočte předávaný výkon daného patra.</t>
  </si>
  <si>
    <t>Pro libovolný typ radiátoru platí deklarovaný výkon dělit 55 stupni a 10W/m2  ( násobit 0,18) . Je to rozdíl mezi střední teplotou OV 90/70 a okolím ( 80-25=55 ) a schopnost sdílení tepla rovinné desky v kontaktu se vzduchem.</t>
  </si>
  <si>
    <t xml:space="preserve"> Druhým médiem může být vzduch, pak pro deskový radiátor platí sdílení tepla konvencí typicky 10W/m2/K. </t>
  </si>
  <si>
    <t>Schopnost výměny tepla závisí na čistotě. Zarostlý výměník má hodnotu typicky poloviční.</t>
  </si>
  <si>
    <t>Sloupec D: Každý výměník lze popsat celkovou tepelnou vodivostí. Pro měděný výměník 1m2 bývá hodnota 1000 W/K ( tisíc wattů/stupeň) , pro menší bojler 0,65 m2 je 650 W/K.</t>
  </si>
  <si>
    <t>Sloupec C: Vstupní teplota topného zdroje. Napište ji. Teplota média po proběhnutí výměny energií se vypočítá o patro níže.</t>
  </si>
  <si>
    <t>Sloupec B: do prvního pole napište rychlost vody v litrech/sekundu. Ve všech dalších dílech je rychlost stejná, proto je zde vzorec kopie buňky nad.</t>
  </si>
  <si>
    <t>SO2</t>
  </si>
  <si>
    <t>CO2</t>
  </si>
  <si>
    <t>H2O(p)</t>
  </si>
  <si>
    <t>CO</t>
  </si>
  <si>
    <t>O2</t>
  </si>
  <si>
    <t>N2</t>
  </si>
  <si>
    <t>H2</t>
  </si>
  <si>
    <t>C)</t>
  </si>
  <si>
    <t>Sloupec A:Rovnoměrný protiproudý výměník je rozdělen na 10 stejných úseků pod sebou. Jednička je vstup, dvojka konec první desetiny, trojka konec druhé desetiny až 11ka je konec desáté desetiny, tedy výstup výměníku - nejnižší část..</t>
  </si>
  <si>
    <t>spaliny nad zpátečkou</t>
  </si>
  <si>
    <t xml:space="preserve">teplotách a konst. tlaku 0,1 MPa </t>
  </si>
  <si>
    <t xml:space="preserve">Tabulka VI Střední měrné tepelné kapacity plynů cps (kJ kg-1 K-1) při různých </t>
  </si>
  <si>
    <t>http://www.vscht.cz/fch/prikladnik/prikladnik/p.3.4.html</t>
  </si>
  <si>
    <t>http://cs.wikipedia.org/wiki/Maxwellovy_relace</t>
  </si>
  <si>
    <t>krát větší objem páry, než vody</t>
  </si>
  <si>
    <t>Výměník spalin v kondenzačním kotli</t>
  </si>
  <si>
    <t>(účinnost parních strojů )</t>
  </si>
  <si>
    <t>vytlačení atmosféry tvoří pouhých 5% výparného tepla</t>
  </si>
  <si>
    <t>J</t>
  </si>
  <si>
    <t> je molární tepelná kapacita při stálém objemu</t>
  </si>
  <si>
    <t> je molární tepelná kapacita při stálém tlaku</t>
  </si>
  <si>
    <t>m3</t>
  </si>
  <si>
    <t> je Molární plynová konstanta (8,314 472 J·K-1·mol-1)</t>
  </si>
  <si>
    <t>jako 537 stupňů navíc</t>
  </si>
  <si>
    <t>J/g</t>
  </si>
  <si>
    <t>gramů voda, odpar</t>
  </si>
  <si>
    <t>j/g/K</t>
  </si>
  <si>
    <t>http://fyzikalniulohy.cz/uloha.php?uloha=336</t>
  </si>
  <si>
    <t>Mayerův vztah pro 1 mol plynu</t>
  </si>
  <si>
    <t>reálné izobarické rozepnutí vytvoří chybu 10% - zanedbatelné</t>
  </si>
  <si>
    <t>m3 teoreticky</t>
  </si>
  <si>
    <t>kJ</t>
  </si>
  <si>
    <t>izobarické rozepnutí:</t>
  </si>
  <si>
    <t>Poissonova konstanta je 1,4</t>
  </si>
  <si>
    <t>http://fyzikalniulohy.cz/uloha.php?uloha=337</t>
  </si>
  <si>
    <t>http://web.vscht.cz/~mistovae/en_tabulky.pdf</t>
  </si>
  <si>
    <t>http://fyzikalniulohy.cz/uloha.php?uloha=434</t>
  </si>
  <si>
    <t>Jen 559 st metan+vzduch se mi zdá málo</t>
  </si>
  <si>
    <t>Doplněno z dat Destila DPL</t>
  </si>
  <si>
    <t>8 gramů stříbra jsou 2 Ah</t>
  </si>
  <si>
    <t>1ku2ku8</t>
  </si>
  <si>
    <t xml:space="preserve">Tabulka V Střední měrné tepelné kapacity plynů cps (kJ m-3 K-1) při různých </t>
  </si>
  <si>
    <t>teplota 2780 st</t>
  </si>
  <si>
    <t xml:space="preserve">Energetika – návody k výpočtům: Ing. Jan Macák, CSc., VŠCHT (2001) </t>
  </si>
  <si>
    <t>valenčních elektronů</t>
  </si>
  <si>
    <t>poměr 1:2 metan/kyslík</t>
  </si>
  <si>
    <t xml:space="preserve">v 1 kg železa je </t>
  </si>
  <si>
    <t>http://www.mmspektrum.com/clanek/porovnani-plynu-pro-rezani-plamenem.html</t>
  </si>
  <si>
    <t xml:space="preserve"> Ve vzorečcích i grafech se jde snadno vyznat, stačí poklepat. </t>
  </si>
  <si>
    <t>ztráty:</t>
  </si>
  <si>
    <t>ohřev stupňů</t>
  </si>
  <si>
    <t xml:space="preserve"> Účinnost rapidně klesá nejen díky chybějící kondenzaci, ale i kvůli zvyšující se teplotě odchozích spalin.</t>
  </si>
  <si>
    <t>Holandsko</t>
  </si>
  <si>
    <t>teplota příchozího vzduchu</t>
  </si>
  <si>
    <t xml:space="preserve"> Výsledek je stejný. Zajímavý je vliv lambdy. Lambda 2 x větší je poloviční teplota a dvojnásobný průtok.</t>
  </si>
  <si>
    <t>Alžír</t>
  </si>
  <si>
    <t>teplota spalin</t>
  </si>
  <si>
    <t xml:space="preserve"> aby dodávaný výkon byl požadovaný. Samozřejmě by se průtok "jako vody" dal přepočítat na reálné spaliny, ale nijak si nepomůžeme.</t>
  </si>
  <si>
    <t>Rus</t>
  </si>
  <si>
    <t xml:space="preserve"> Teplotu vstupních spalin jsem odhadl na 1000 stupňů - pokud je jinak prosím opravte mě - a průtok je zvolen tak,</t>
  </si>
  <si>
    <t>Uzb</t>
  </si>
  <si>
    <t xml:space="preserve"> ohřála se tedy z 30 na 37. O zbývajících 9/10 ohřevu z 37 na 100 st dojde v obyčejné části výměníku, kde nic nekondenzuje.</t>
  </si>
  <si>
    <t>m3/s</t>
  </si>
  <si>
    <t>a teplota vody je i v režimu 100/30 pouze 37 stupňů. ( OV přejala veškerou kondenzaci, což je 10% spalného tepla,</t>
  </si>
  <si>
    <t xml:space="preserve"> To ale nic nemění na faktu, že ke kondenzaci dochází až v posledním - energeticky desátém dílu výměníku </t>
  </si>
  <si>
    <t>kWh/m3</t>
  </si>
  <si>
    <t>kj/m3</t>
  </si>
  <si>
    <t xml:space="preserve"> čímž zrovna výměník kotle nebude. Ze začátku spíš chladnou spaliny pomaleji.</t>
  </si>
  <si>
    <t>plyn</t>
  </si>
  <si>
    <t>lambda</t>
  </si>
  <si>
    <t xml:space="preserve"> jaký vliv na teplotu odchozích spalin má teplota výstupní OV. Samozřejmě je to jen model, navíc lineární,</t>
  </si>
  <si>
    <t>jaká hustota při 3000 st C?  dopočteno 100g/m3</t>
  </si>
  <si>
    <t>http://cs.wikipedia.org/wiki/Spaln%C3%A9_teplo</t>
  </si>
  <si>
    <t>Zmenšením tepelné vodivosti lze dobře simulovat vliv zanesení výměníku. Stejně tak lze odvodit,</t>
  </si>
  <si>
    <t xml:space="preserve"> Hodnota tepelné vodivosti je určena experimentálně tak, aby teplota spalin odpovídala realitě. </t>
  </si>
  <si>
    <t>J/g/K</t>
  </si>
  <si>
    <t>g</t>
  </si>
  <si>
    <t>8n2+2O2+ch4=8n2+co2+2h2o</t>
  </si>
  <si>
    <t xml:space="preserve"> Provozuji kotel v režimu 80/30 a kondenzát a teplota spalin odpovídá zpátečce. V případě souproudého by neměl kondenzovat vůbec.</t>
  </si>
  <si>
    <t>litrů vzduchu</t>
  </si>
  <si>
    <t>2O2+ch4=co2+2h2o</t>
  </si>
  <si>
    <t>Nic lepšího, než protiproudý výměník totiž neexistuje. Souproudý výměník to není v žádném případě.</t>
  </si>
  <si>
    <t>1 litr</t>
  </si>
  <si>
    <t>Kotel 38 kW příkon 3,6 m3/hod</t>
  </si>
  <si>
    <t xml:space="preserve"> že se u Prothermů jedná o výměníky protiproudé. Jestli to dělají některé firmy jinak, škodí samy sobě. </t>
  </si>
  <si>
    <t>st K</t>
  </si>
  <si>
    <t>1m3 CH4</t>
  </si>
  <si>
    <t>Výpočet komínových ztrát:</t>
  </si>
  <si>
    <t>Výměník jsem nerozebíral. Vycházím pouze ze schémat a hlavně z naměřených hodnot. Veškerá měření potvrzují,</t>
  </si>
  <si>
    <t>hustota vzduchu</t>
  </si>
  <si>
    <t>kWh</t>
  </si>
  <si>
    <t>Výměník spalin v kondenzačním kotli - popis provozu. Vliv změny průtoku OV, spalin, lambdy.</t>
  </si>
  <si>
    <t>Bojler Dražice po 7 letech provozu, tepelná vodivost zanešením klesla na polovinu:</t>
  </si>
  <si>
    <t>Nový bojler Dražice 180l 1m2</t>
  </si>
  <si>
    <t>Vyplňujte pouze žlutá pole, vše ostatní jsou vzorečky.</t>
  </si>
  <si>
    <t>Klepnutím na zobrazený graf ( např. buňka J20 ) se vysvítí co graf znamená - v tomto případě rozložení teploty OV v bojlerovém výměníku po jednotlivých závitech odzhora dolů až k výpusti OV.</t>
  </si>
  <si>
    <t>tepelná vodivost W/K   je vlastnost celého výměníku, kolik wattů přenese při rozdílu teplot 1 stupeň.</t>
  </si>
  <si>
    <t>Byl použit vzorový 1 kW deskový radiátor 0,9*1 m s odporem 18 W/K</t>
  </si>
  <si>
    <t>Tepelný odpor měděných výměníků bývá 1000 W/m2, tepelný odpor deskových radiátorů je 10W/m2/K</t>
  </si>
  <si>
    <t>Volíme průtok a teplotu na nejteplejší straně, teploty na opačné straně se dopočítají samy. Vhodný režim vybíráme tak dlouho, až se intuitivně trefíme.</t>
  </si>
  <si>
    <t>Pro bližší představu je možné jeden protiproudý výměník rozložit na 10 malých lineárních. Toky energií zapracujeme do jednoduchých vzorečků a budeme sledovat, co se děje.</t>
  </si>
  <si>
    <t>Výměník v bojleru, deskový radiátor i spalinový výměník v kondenzačním kotli jsou protiproudé výměníky.</t>
  </si>
  <si>
    <t>teorie rovnoměrného nedokonalého protiproudého výměníku:</t>
  </si>
  <si>
    <t>volitelná vodivost W/K</t>
  </si>
  <si>
    <t>Kv/K</t>
  </si>
  <si>
    <t>realita o 21% horší</t>
  </si>
  <si>
    <t>mm závit</t>
  </si>
  <si>
    <t>o 21% horší k 11,5 mm</t>
  </si>
  <si>
    <t>chová se jako 9,5 mm průměr</t>
  </si>
  <si>
    <t>mm vnější průměr</t>
  </si>
  <si>
    <t>0,36 Kv /K</t>
  </si>
  <si>
    <t>mm vnitřní průměr</t>
  </si>
  <si>
    <t>Typ S</t>
  </si>
  <si>
    <t>jako průměr 13 mm</t>
  </si>
  <si>
    <t>0,49 Kv/K</t>
  </si>
  <si>
    <t>Typ N</t>
  </si>
  <si>
    <t>https://homecomfort-techlit.resideo.com/emeadocuments/ge25/v200n-v200s-pd-en0h125ge25r0520.pdf</t>
  </si>
  <si>
    <t>Kv data</t>
  </si>
  <si>
    <t>http://www.armatmetal.cz/ke-stazeni/?dokumentyControl1-id=11&amp;do=dokumentyControl1-download</t>
  </si>
  <si>
    <t>reálné měření na běžných ventilech Korado změna cca 0,12 Kv na stupeň.</t>
  </si>
  <si>
    <t>https://www.tzb-info.cz/tabulky-a-vypocty/9-vlastnosti-syte-vodni-pary-pri-danem-tlaku</t>
  </si>
  <si>
    <t>Kv úseku</t>
  </si>
  <si>
    <t>===========přepočet Kv a ZETA ==========================================================================</t>
  </si>
  <si>
    <t>https://forum.tzb-info.cz/149128-nedostatecny-prutok-podlahovymi-okruhy/vsechny-prispevky#text23</t>
  </si>
  <si>
    <t>Okruh trubky 16/2 délky 140 m má Kv cca 0,24</t>
  </si>
  <si>
    <t>10 okruhů tedy 2,4</t>
  </si>
  <si>
    <t>rohový ventil</t>
  </si>
  <si>
    <t>https://forum.tzb-info.cz/149171-jak-nenasekat-kila-pascallu</t>
  </si>
  <si>
    <t>3 8</t>
  </si>
  <si>
    <t>1 2</t>
  </si>
  <si>
    <t>3 4</t>
  </si>
  <si>
    <t xml:space="preserve">1 </t>
  </si>
  <si>
    <t>1 1 4</t>
  </si>
  <si>
    <t>1 1 2</t>
  </si>
  <si>
    <t>2  1 2</t>
  </si>
  <si>
    <t>3</t>
  </si>
  <si>
    <t>4</t>
  </si>
  <si>
    <t>2</t>
  </si>
  <si>
    <t>1.ventil</t>
  </si>
  <si>
    <t>2.ventil</t>
  </si>
  <si>
    <t>součet 1. a 2.</t>
  </si>
  <si>
    <t>3.ventil</t>
  </si>
  <si>
    <t>součet 1. a 2. a 3.</t>
  </si>
  <si>
    <t>4.ventil</t>
  </si>
  <si>
    <t>součet 1. a 2. a 3. a 4.</t>
  </si>
  <si>
    <t>5.</t>
  </si>
  <si>
    <t>6.</t>
  </si>
  <si>
    <t>7.</t>
  </si>
  <si>
    <t>8.</t>
  </si>
  <si>
    <t>9.</t>
  </si>
  <si>
    <t>Kv/kW</t>
  </si>
  <si>
    <t>násobitel/KV na kW - řeší chybné nastavení vše na max</t>
  </si>
  <si>
    <t>a upustit vodu tak, aby se citlivost na odpuštění snížila.</t>
  </si>
  <si>
    <t>Podle výpočtu (C7 = -0,5) by ale měl klesnout pouze o 0,088 baru, tedy 3x méně.</t>
  </si>
  <si>
    <t>Nyní odpusťte pomalu 0,5 litru. Tlak pomalu klesne např. o 0,2 baru.</t>
  </si>
  <si>
    <t>V expanzi není cca 10 litrů vzduchu, ale jen třetina. Je třeba postupně dofouknout expanzi</t>
  </si>
  <si>
    <t>W ztráta při dT 60K</t>
  </si>
  <si>
    <t>dny</t>
  </si>
  <si>
    <t>1200l</t>
  </si>
  <si>
    <t>160l</t>
  </si>
  <si>
    <t>10 mm</t>
  </si>
  <si>
    <t>12 mm</t>
  </si>
  <si>
    <t>14 mm</t>
  </si>
  <si>
    <t>16 mm</t>
  </si>
  <si>
    <t>Trubka vnitřní průměr  12 mm se začíná zhoršovat od 70m, únosných je 100m a 133m je již přídavek nulový!! (1%)</t>
  </si>
  <si>
    <t>Plocha 20m2, tlak 10 kPa, Voda 30°C, okolí 20°C. Měrný výkon W/m2. Dole pak poměr výkonů při změně délky.</t>
  </si>
  <si>
    <t xml:space="preserve">Z výpočtu vyplývá, že v expanzi je stlačeno 10,8 litru vzduchu o okolním tlaku. Při tlaku 1 bar je ho přesně polovina, tedy 5,4 litru. </t>
  </si>
  <si>
    <t>Poslední dopouštění z 0,8 na 1 bar spotřebovalo 0,6 litru vody.</t>
  </si>
  <si>
    <t>Další dopuštění z 0,6 na 0,8 baru už potřebovalo 0,3 litru vody.</t>
  </si>
  <si>
    <t>Pak nárůst z 0,4 na 0,6 baru s mírně znatelným pohybem vodoměru - odhad dopuštěno dalších 0,1 litru</t>
  </si>
  <si>
    <t>Nejprve nárůst tlaku z 0,2 na 0,4 baru s nepatrným pohnutím vodoměru - odhad cca 0,05 litru.</t>
  </si>
  <si>
    <t>Zkusíme dopouštět. Pohled na vodoměr říká, kolik vody se dopustilo.</t>
  </si>
  <si>
    <t>klasický případ dobře fungující expanze a pripojené otopné soustavy s nepatrným únikem vody. Tlak postupně klesl až na 0,2 baru.</t>
  </si>
  <si>
    <t>po</t>
  </si>
  <si>
    <t>před</t>
  </si>
  <si>
    <t>vzduchu</t>
  </si>
  <si>
    <t>litru</t>
  </si>
  <si>
    <t>baru</t>
  </si>
  <si>
    <t>odpustení vody:</t>
  </si>
  <si>
    <t>litru vody</t>
  </si>
  <si>
    <t>http://kondenzace.kvalitne.cz/kks/navrh-radiatoru-a-stoupacek.xlsx</t>
  </si>
  <si>
    <t>kapek:</t>
  </si>
  <si>
    <t>instalováno kW(75/65/20)</t>
  </si>
  <si>
    <t>nátok°C</t>
  </si>
  <si>
    <t>Kč/rok EE</t>
  </si>
  <si>
    <t>Kč/rok amort</t>
  </si>
  <si>
    <t>m délka - rozteč 0,2m</t>
  </si>
  <si>
    <t>Návratnost TČ 7 kW v domě s TZ 6 kW (U = 200W/K) 390 m.n.m.</t>
  </si>
  <si>
    <t>součet</t>
  </si>
  <si>
    <t>AJ67 je návratnost různých řešení</t>
  </si>
  <si>
    <t>radiátory 1000 Kč/kW , amort 20 let</t>
  </si>
  <si>
    <t>15,1 Kč/m je 16/2 žichlínek</t>
  </si>
  <si>
    <t xml:space="preserve">160 m2 je </t>
  </si>
  <si>
    <t>Kč trubky</t>
  </si>
  <si>
    <t>Kč je 5 místný rozděl</t>
  </si>
  <si>
    <t>výpočet PT AJ69</t>
  </si>
  <si>
    <t>Pokud je stlačen na 3 bary, je ho čtvrtina 1/(1+3), tedy 16 mililitrů.</t>
  </si>
  <si>
    <t>Zvolte normovanou průtočnost těles. 1 pro spád 75/65/20 nebo 0,66 pro spád 75/60/20 či 90/70/20</t>
  </si>
  <si>
    <t>pro 75/65/20 průtočnost 1 a výkon sedí.</t>
  </si>
  <si>
    <t>pro 90/70/20 průtočnost 0,66 a výkon je 1/0,76 x větší</t>
  </si>
  <si>
    <t>nula je bez korekce, 0,38 je skutečný výkon korado v závislosti na teplotě.</t>
  </si>
  <si>
    <t>Ing. Josef Vávra</t>
  </si>
  <si>
    <t>Doplněn exponent radiátorů s výpočtem přesně podle ČSN EN 442</t>
  </si>
  <si>
    <t>Počítám totiž střední aritmetickou hodnotu. Ve skutečnosti se musí počítat logaritmická. Výrazné rozdíly mezi těmito metodami nastávají při průtocích pod 0,15</t>
  </si>
  <si>
    <t>jak "moc" protéká voda radiátory je v poli N5.  1 odpovídá normativu. Pod 0,15 je již výpočet nesmyslný.</t>
  </si>
  <si>
    <t>Výpočet anuloidu používá pouze lineární modely. Chyba do 1K při průtocích 0,1 nominálu.</t>
  </si>
  <si>
    <t>Tabulka dole respektuje exponenciální chladnutí a zákony chladnutí dle 4 mocnin absolutních teplot.</t>
  </si>
  <si>
    <t>Náběh soustavy radiátorů je na dalším listu.</t>
  </si>
  <si>
    <t>částečně pak ve vzorové tabulce dole. Je to nezávislých 10 případů pro intuitivní porovnání vlivů.</t>
  </si>
  <si>
    <t xml:space="preserve">Kompletní časy zjistíte vyplněním souboru na stránce   </t>
  </si>
  <si>
    <t>Průtoky a teploty odpovídají stavu po ustálení. Správně navržené otopné soustavě to trvá 5 - 8 minut.</t>
  </si>
  <si>
    <t>Výpočty Kv jsou limitní, bez přípojného potrubí apod.</t>
  </si>
  <si>
    <t xml:space="preserve">Všechny tyto tři podmínky musí být vždy splněny (řeší rovnice ve skryté T1 až T7)  </t>
  </si>
  <si>
    <t>o který se liší nátok do kotle B18 a výstup kotle B8.</t>
  </si>
  <si>
    <t>Kotel NESMÍ dostat vodu chladnější, než B4.</t>
  </si>
  <si>
    <t>Kotel má výkon B2 a průtok B3. Proto ohřeje vodu o známý rozdíl,</t>
  </si>
  <si>
    <t xml:space="preserve">Kotel MUSÍ topit alespoň na teplotu potřebnou pro radiátory. </t>
  </si>
  <si>
    <t>Proto musí mít teplotu nátoku Q8 a teplotu zpátečky Q18.</t>
  </si>
  <si>
    <t>zeta</t>
  </si>
  <si>
    <t>Do kotle NEMŮŽE přitékat voda chladnější, než je zpátečka z radiátorů a</t>
  </si>
  <si>
    <t>Kotel dává výkon B2. Radiátory o konstrukčním výkonu N2 ho MUSÍ! odebrat při průtoku N3.</t>
  </si>
  <si>
    <t>zeta 16 je poloviční průměr / čtvrtinová plocha.</t>
  </si>
  <si>
    <t xml:space="preserve">A nyní přichází ono "orakulum". </t>
  </si>
  <si>
    <t xml:space="preserve">T je skryté. Je to ono orakulum ,pobavilo :-)  celého výpočtu. </t>
  </si>
  <si>
    <t>čtvrtá odmocnina ze zety má význam zmenšení průměru</t>
  </si>
  <si>
    <t>druhá odmocnina ze zety má význam zmenšení plochy</t>
  </si>
  <si>
    <t>Můžete změnit teplotu okolí (N5)  Přednastaveno 20°C</t>
  </si>
  <si>
    <t>kdy anuloidem nic neprotéká.</t>
  </si>
  <si>
    <t>Zadejte součet projektovaných výkonů radiátorů v režimu 75/65/20  (N2)   a výkon oběhového čerpadla v okruhu radiátorů (N3)</t>
  </si>
  <si>
    <t>výsledek je při shodných průtocích,</t>
  </si>
  <si>
    <t>Zadejte výkon kotle (B2) , průtok čerpadla kotlového okruhu (B3) a teplotu směšovacího trojcestného ventilu proi ochranu nízkoteplotní koroze (B4)</t>
  </si>
  <si>
    <t>Potvrzuje očekávaný fakt, že nelepší</t>
  </si>
  <si>
    <t>Vyplňujte POUZE žlutá pole!</t>
  </si>
  <si>
    <t>kontrolní řádek:</t>
  </si>
  <si>
    <t>pokračuje vlevo</t>
  </si>
  <si>
    <t>bere z pravé větve</t>
  </si>
  <si>
    <t>Výpočet dle ČSN EN 442</t>
  </si>
  <si>
    <t>teče nahoru</t>
  </si>
  <si>
    <t>bere z horní větve</t>
  </si>
  <si>
    <t>radiátory zpátečka °C</t>
  </si>
  <si>
    <t>teče zprava</t>
  </si>
  <si>
    <t>°C trojcestný ventil</t>
  </si>
  <si>
    <t>kotel vstup °C</t>
  </si>
  <si>
    <t>mm vnitrni</t>
  </si>
  <si>
    <t>mm2 ze zeta</t>
  </si>
  <si>
    <t>Kv ze zeta</t>
  </si>
  <si>
    <t>kPa je tlak čerpadla bez průtoku</t>
  </si>
  <si>
    <t>Honeywell FY30 - popis vztahu ZETA a Kv. Na rychlosti vztah nezávisí.</t>
  </si>
  <si>
    <t>Kv radiátorů</t>
  </si>
  <si>
    <t>Kv trojc. ventilu</t>
  </si>
  <si>
    <t>na nesymetrii průtoků.</t>
  </si>
  <si>
    <t>https://www.setrice.eu/fotky47249/fotov/_ps_999Katalogovy-list-honeywell-FY30.pdf</t>
  </si>
  <si>
    <t>nároky na výstupní teplotu kotle v závislosti</t>
  </si>
  <si>
    <t>pro 100% výkon radiátorů 75/65/20</t>
  </si>
  <si>
    <t>potřebné navýšení</t>
  </si>
  <si>
    <t>radiátory nátok °C</t>
  </si>
  <si>
    <t>kotel výstup °C</t>
  </si>
  <si>
    <t>místní odpor 1</t>
  </si>
  <si>
    <t>navýšení pro dodržení odtoku radiátorů</t>
  </si>
  <si>
    <t>RADIÁTORY</t>
  </si>
  <si>
    <t>ANULOID</t>
  </si>
  <si>
    <t>TROJCESTNÝ VENTIL</t>
  </si>
  <si>
    <t>KOTEL</t>
  </si>
  <si>
    <t>K navýšení pro dodržení nátoku radiátorů</t>
  </si>
  <si>
    <t>Vstup/výstup kotle, průtoky trojcestným ventilem, anuloidem i teploty nátoku/zpátečky radiátorů nezadáváte. Jsou vypočteny ze zadaných hodnot B2,B3,B4 a N2, N3,N5</t>
  </si>
  <si>
    <t>&lt;0,7</t>
  </si>
  <si>
    <t>°C teplota okolí</t>
  </si>
  <si>
    <t>°C výstup kotle opřený o povinnou zpátečku</t>
  </si>
  <si>
    <t>Kontrola průtoku. Rozsah 0,15 až 1</t>
  </si>
  <si>
    <t>tel. /WhatsApp  608 507 514</t>
  </si>
  <si>
    <t>°C ochrana zpátečky do kotle</t>
  </si>
  <si>
    <t>°C vstup kotle opřený o povinnou zpátečku</t>
  </si>
  <si>
    <t>kg/hod je průtok radiátorovým okruhem</t>
  </si>
  <si>
    <t>°C výstup radiátorů</t>
  </si>
  <si>
    <t>kW radiátorů 75/65/20</t>
  </si>
  <si>
    <t>kW   Zde postupně měňte výkon kotle a sledujte průtoky a teploty v jednotlivých místech.dejte 20</t>
  </si>
  <si>
    <t>VÝSTUP KOTLE</t>
  </si>
  <si>
    <t>POMĚR</t>
  </si>
  <si>
    <t>°C vstup do radiátorů</t>
  </si>
  <si>
    <t>exponent tělesa</t>
  </si>
  <si>
    <t>Výpočet trojcestného ventilu s anuloidem. Vyplňujte pouze žlutá pole!!</t>
  </si>
  <si>
    <t>https://www.korado.cz/common/downloads/vypocet-tepelnych-vykonu-radik-1622096352.xlsm</t>
  </si>
  <si>
    <t>Náhrada PT radiátory - při dT 10K radiátor topí 60% z lineárního přepočtu.</t>
  </si>
  <si>
    <t>AL91 náhrada radiátory</t>
  </si>
  <si>
    <t>19m2 20cm 9kPa 13mm dosáhne 3,27 W/m2/K *19 = 62,1 W/K.</t>
  </si>
  <si>
    <t>1 kW radiátor topí 1000/55*0,6 =10,9 W/K Je tedy třeba instalovat 62,1/10,9 = 5,7 kW radiátorů.</t>
  </si>
  <si>
    <t xml:space="preserve">Tlak po dopuštění/vypuštění C7 (bar) </t>
  </si>
  <si>
    <t xml:space="preserve">Vztah pro zjištění množství NESTLAČENÉHO!! vzduchu v systému. Skutečný objem bubliny </t>
  </si>
  <si>
    <t>litru nestlačeného vzduchu</t>
  </si>
  <si>
    <t>baru před</t>
  </si>
  <si>
    <t>baru po vypuštění</t>
  </si>
  <si>
    <t>litrů skutečně po odpuštění</t>
  </si>
  <si>
    <t>litrů vzduchu před odpuštěním</t>
  </si>
  <si>
    <t>kontrola rozdíl</t>
  </si>
  <si>
    <t>Výpočet tlaku expanze z odpuštění známého množství vody z odvzdušňovacího ventilu. C7 = 0</t>
  </si>
  <si>
    <t>https://kondenzace.kvalitne.cz/kks/navrh-radiatoru-a-stoupacek.xlsx</t>
  </si>
  <si>
    <t>https://forum.tzb-info.cz/151532-kondenzacni-kotel-therm-24-kdzn5?p=568144</t>
  </si>
  <si>
    <t>===================================================================================</t>
  </si>
  <si>
    <t>HEIMEIER</t>
  </si>
  <si>
    <t>teoreticky odpovídá průměru sedla 16,5 mm, na fotkách je 7,6 mm.</t>
  </si>
  <si>
    <t>https://docplayer.cz/storage/37/17634868/1646039615/Bw-iv952DbQngiof8nY-xg/17634868.pdf</t>
  </si>
  <si>
    <t>CALYPSO HEIMEIER</t>
  </si>
  <si>
    <t>60 m PPR rozvod má 3 bary. Po odpuštění osmi kapek klesl tlak na 2,9 baru</t>
  </si>
  <si>
    <t>litrů nestlačeného vzduchu</t>
  </si>
  <si>
    <t>objem trubek:</t>
  </si>
  <si>
    <t>litrů</t>
  </si>
  <si>
    <t>vzduch/objem</t>
  </si>
  <si>
    <t>Vzduchu v rozvodu zbylo cca 1%</t>
  </si>
  <si>
    <t>litrů vzduchu v expanzi před odpuštěním/připuštěním. Viz výpočet sloupec S</t>
  </si>
  <si>
    <t>http://www.pressure-drop.online/</t>
  </si>
  <si>
    <t>http://www.druckverlust.de/Online-Rechner/</t>
  </si>
  <si>
    <t>20,45 mbar 20°C</t>
  </si>
  <si>
    <t>20,46 mbar 40°C</t>
  </si>
  <si>
    <t>vestavěné termoventily Korado typ 43333</t>
  </si>
  <si>
    <t>mm prumer</t>
  </si>
  <si>
    <t>mm2/K</t>
  </si>
  <si>
    <t>mm/K</t>
  </si>
  <si>
    <t>mm obvod</t>
  </si>
  <si>
    <t>přednastavení klíčkem - otáčení clonek:</t>
  </si>
  <si>
    <t>zdvih termohlavicí 0,3 mm/K maximálně dá termoventil 3,2 mm, tedy 11K.</t>
  </si>
  <si>
    <t>Kv na stupeň</t>
  </si>
  <si>
    <t>měření</t>
  </si>
  <si>
    <t>celkové Kv plněotevřený ventil</t>
  </si>
  <si>
    <t>stupeň 2 dle výpočtu 0,17</t>
  </si>
  <si>
    <t>Tlak ze 3 barů klesl na 2,9 po odpuštění 0,0004 litru (8 kapek). V systému je tedy 62 ml nestlačeného vzduchu.</t>
  </si>
  <si>
    <t>https://www.qpro.cz/Vlastnosti-vlhkeho-vzduchu</t>
  </si>
  <si>
    <t>navazuje přesněji, než vzorec z tzb-info.</t>
  </si>
</sst>
</file>

<file path=xl/styles.xml><?xml version="1.0" encoding="utf-8"?>
<styleSheet xmlns="http://schemas.openxmlformats.org/spreadsheetml/2006/main">
  <numFmts count="1">
    <numFmt numFmtId="164" formatCode="h:mm;@"/>
  </numFmts>
  <fonts count="33">
    <font>
      <sz val="11"/>
      <color theme="1"/>
      <name val="Calibri"/>
      <family val="2"/>
      <charset val="238"/>
      <scheme val="minor"/>
    </font>
    <font>
      <b/>
      <sz val="11"/>
      <color theme="1"/>
      <name val="Calibri"/>
      <family val="2"/>
      <charset val="238"/>
      <scheme val="minor"/>
    </font>
    <font>
      <u/>
      <sz val="11"/>
      <color theme="10"/>
      <name val="Calibri"/>
      <family val="2"/>
      <charset val="238"/>
    </font>
    <font>
      <b/>
      <sz val="14"/>
      <color theme="1"/>
      <name val="Calibri"/>
      <family val="2"/>
      <charset val="238"/>
      <scheme val="minor"/>
    </font>
    <font>
      <sz val="11"/>
      <color rgb="FFFF0000"/>
      <name val="Calibri"/>
      <family val="2"/>
      <charset val="238"/>
      <scheme val="minor"/>
    </font>
    <font>
      <b/>
      <sz val="11"/>
      <color rgb="FF0070C0"/>
      <name val="Calibri"/>
      <family val="2"/>
      <charset val="238"/>
      <scheme val="minor"/>
    </font>
    <font>
      <sz val="11"/>
      <color rgb="FF0070C0"/>
      <name val="Calibri"/>
      <family val="2"/>
      <charset val="238"/>
      <scheme val="minor"/>
    </font>
    <font>
      <b/>
      <sz val="11"/>
      <color rgb="FFFF0000"/>
      <name val="Calibri"/>
      <family val="2"/>
      <charset val="238"/>
      <scheme val="minor"/>
    </font>
    <font>
      <sz val="11"/>
      <color theme="1"/>
      <name val="Calibri"/>
      <family val="2"/>
      <charset val="238"/>
      <scheme val="minor"/>
    </font>
    <font>
      <sz val="10"/>
      <name val="Arial"/>
      <family val="2"/>
      <charset val="238"/>
    </font>
    <font>
      <b/>
      <sz val="10"/>
      <name val="Arial"/>
      <family val="2"/>
      <charset val="238"/>
    </font>
    <font>
      <sz val="14"/>
      <name val="Arial"/>
      <family val="2"/>
      <charset val="238"/>
    </font>
    <font>
      <b/>
      <sz val="12"/>
      <color theme="1"/>
      <name val="Calibri"/>
      <family val="2"/>
      <charset val="238"/>
      <scheme val="minor"/>
    </font>
    <font>
      <sz val="12"/>
      <color theme="1"/>
      <name val="Calibri"/>
      <family val="2"/>
      <charset val="238"/>
      <scheme val="minor"/>
    </font>
    <font>
      <u/>
      <sz val="12"/>
      <color theme="10"/>
      <name val="Calibri"/>
      <family val="2"/>
      <charset val="238"/>
    </font>
    <font>
      <sz val="9"/>
      <color theme="1"/>
      <name val="Arial"/>
      <family val="2"/>
      <charset val="238"/>
    </font>
    <font>
      <b/>
      <vertAlign val="superscript"/>
      <sz val="7.5"/>
      <color theme="1"/>
      <name val="Calibri"/>
      <family val="2"/>
      <charset val="238"/>
      <scheme val="minor"/>
    </font>
    <font>
      <u/>
      <sz val="7.6"/>
      <color theme="10"/>
      <name val="Arial"/>
      <family val="2"/>
      <charset val="238"/>
    </font>
    <font>
      <b/>
      <vertAlign val="subscript"/>
      <sz val="7.5"/>
      <color theme="1"/>
      <name val="Calibri"/>
      <family val="2"/>
      <charset val="238"/>
      <scheme val="minor"/>
    </font>
    <font>
      <i/>
      <sz val="11"/>
      <color theme="1"/>
      <name val="Calibri"/>
      <family val="2"/>
      <charset val="238"/>
      <scheme val="minor"/>
    </font>
    <font>
      <sz val="9"/>
      <color theme="1"/>
      <name val="Calibri"/>
      <family val="2"/>
      <charset val="238"/>
      <scheme val="minor"/>
    </font>
    <font>
      <b/>
      <sz val="9"/>
      <color theme="1"/>
      <name val="Calibri"/>
      <family val="2"/>
      <charset val="238"/>
      <scheme val="minor"/>
    </font>
    <font>
      <sz val="9"/>
      <color rgb="FFFF0000"/>
      <name val="Calibri"/>
      <family val="2"/>
      <charset val="238"/>
      <scheme val="minor"/>
    </font>
    <font>
      <vertAlign val="superscript"/>
      <sz val="11"/>
      <color theme="1"/>
      <name val="Calibri"/>
      <family val="2"/>
      <charset val="238"/>
      <scheme val="minor"/>
    </font>
    <font>
      <u/>
      <sz val="8.8000000000000007"/>
      <color theme="10"/>
      <name val="Calibri"/>
      <family val="2"/>
      <charset val="238"/>
    </font>
    <font>
      <b/>
      <vertAlign val="superscript"/>
      <sz val="11"/>
      <color theme="1"/>
      <name val="Calibri"/>
      <family val="2"/>
      <charset val="238"/>
      <scheme val="minor"/>
    </font>
    <font>
      <b/>
      <sz val="10"/>
      <color rgb="FF000000"/>
      <name val="Calibri"/>
      <family val="2"/>
      <charset val="238"/>
      <scheme val="minor"/>
    </font>
    <font>
      <sz val="15"/>
      <color theme="1"/>
      <name val="Times New Roman"/>
      <family val="1"/>
      <charset val="238"/>
    </font>
    <font>
      <sz val="10"/>
      <color theme="1"/>
      <name val="Times New Roman"/>
      <family val="1"/>
      <charset val="238"/>
    </font>
    <font>
      <sz val="15"/>
      <color theme="1"/>
      <name val="Arial"/>
      <family val="2"/>
      <charset val="238"/>
    </font>
    <font>
      <sz val="12"/>
      <color theme="1"/>
      <name val="Times New Roman"/>
      <family val="1"/>
      <charset val="238"/>
    </font>
    <font>
      <sz val="12"/>
      <color theme="1"/>
      <name val="Arial"/>
      <family val="2"/>
      <charset val="238"/>
    </font>
    <font>
      <sz val="10"/>
      <color rgb="FF000000"/>
      <name val="Arial"/>
      <family val="2"/>
      <charset val="238"/>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33">
    <border>
      <left/>
      <right/>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9" fillId="0" borderId="0"/>
    <xf numFmtId="0" fontId="17" fillId="0" borderId="0" applyNumberFormat="0" applyFill="0" applyBorder="0" applyAlignment="0" applyProtection="0">
      <alignment vertical="top"/>
      <protection locked="0"/>
    </xf>
  </cellStyleXfs>
  <cellXfs count="358">
    <xf numFmtId="0" fontId="0" fillId="0" borderId="0" xfId="0"/>
    <xf numFmtId="0" fontId="0" fillId="0" borderId="0" xfId="0" applyProtection="1">
      <protection hidden="1"/>
    </xf>
    <xf numFmtId="0" fontId="1" fillId="0" borderId="0" xfId="0" applyFont="1" applyProtection="1">
      <protection hidden="1"/>
    </xf>
    <xf numFmtId="0" fontId="0" fillId="2" borderId="0" xfId="0" applyFill="1" applyProtection="1">
      <protection hidden="1"/>
    </xf>
    <xf numFmtId="0" fontId="0" fillId="0" borderId="0" xfId="0" applyFill="1" applyBorder="1" applyAlignment="1" applyProtection="1">
      <alignment horizontal="left"/>
      <protection hidden="1"/>
    </xf>
    <xf numFmtId="0" fontId="0" fillId="0" borderId="4" xfId="0" applyFill="1" applyBorder="1" applyAlignment="1" applyProtection="1">
      <alignment horizontal="left"/>
      <protection hidden="1"/>
    </xf>
    <xf numFmtId="0" fontId="0" fillId="0" borderId="0" xfId="0" applyFont="1" applyFill="1" applyBorder="1" applyAlignment="1" applyProtection="1">
      <alignment horizontal="left"/>
      <protection hidden="1"/>
    </xf>
    <xf numFmtId="0" fontId="0" fillId="0" borderId="4" xfId="0" applyFont="1" applyFill="1" applyBorder="1" applyAlignment="1" applyProtection="1">
      <alignment horizontal="left"/>
      <protection hidden="1"/>
    </xf>
    <xf numFmtId="0" fontId="0" fillId="0" borderId="2" xfId="0" applyFont="1" applyFill="1" applyBorder="1" applyAlignment="1" applyProtection="1">
      <alignment horizontal="center"/>
      <protection hidden="1"/>
    </xf>
    <xf numFmtId="0" fontId="0" fillId="0" borderId="2" xfId="0" applyFill="1" applyBorder="1" applyAlignment="1" applyProtection="1">
      <alignment horizontal="center"/>
      <protection hidden="1"/>
    </xf>
    <xf numFmtId="0" fontId="0" fillId="0" borderId="1" xfId="0" applyFill="1" applyBorder="1" applyAlignment="1" applyProtection="1">
      <alignment horizontal="center"/>
      <protection hidden="1"/>
    </xf>
    <xf numFmtId="0" fontId="1" fillId="0" borderId="0" xfId="0" applyFont="1" applyAlignment="1" applyProtection="1">
      <alignment horizontal="center"/>
      <protection hidden="1"/>
    </xf>
    <xf numFmtId="49" fontId="1" fillId="0" borderId="0" xfId="0" applyNumberFormat="1" applyFont="1" applyAlignment="1" applyProtection="1">
      <alignment horizontal="center"/>
      <protection hidden="1"/>
    </xf>
    <xf numFmtId="0" fontId="0" fillId="0" borderId="1" xfId="0" applyFont="1" applyFill="1" applyBorder="1" applyAlignment="1" applyProtection="1">
      <alignment horizontal="center"/>
      <protection hidden="1"/>
    </xf>
    <xf numFmtId="0" fontId="0" fillId="0" borderId="8" xfId="0" applyBorder="1" applyProtection="1">
      <protection hidden="1"/>
    </xf>
    <xf numFmtId="0" fontId="0" fillId="0" borderId="7" xfId="0" applyBorder="1" applyProtection="1">
      <protection hidden="1"/>
    </xf>
    <xf numFmtId="0" fontId="0" fillId="0" borderId="6" xfId="0" applyBorder="1" applyProtection="1">
      <protection hidden="1"/>
    </xf>
    <xf numFmtId="0" fontId="0" fillId="0" borderId="5" xfId="0" applyBorder="1" applyProtection="1">
      <protection hidden="1"/>
    </xf>
    <xf numFmtId="0" fontId="0" fillId="0" borderId="0" xfId="0" applyBorder="1" applyProtection="1">
      <protection hidden="1"/>
    </xf>
    <xf numFmtId="0" fontId="0" fillId="0" borderId="4" xfId="0" applyBorder="1" applyProtection="1">
      <protection hidden="1"/>
    </xf>
    <xf numFmtId="0" fontId="1" fillId="0" borderId="0" xfId="0" applyFont="1" applyBorder="1" applyAlignment="1" applyProtection="1">
      <alignment horizontal="center"/>
      <protection hidden="1"/>
    </xf>
    <xf numFmtId="0" fontId="1" fillId="0" borderId="0" xfId="0" applyFont="1" applyBorder="1" applyAlignment="1" applyProtection="1">
      <alignment horizontal="left"/>
      <protection hidden="1"/>
    </xf>
    <xf numFmtId="0" fontId="1" fillId="0" borderId="4" xfId="0" applyFont="1" applyBorder="1" applyAlignment="1" applyProtection="1">
      <alignment horizontal="left"/>
      <protection hidden="1"/>
    </xf>
    <xf numFmtId="0" fontId="0" fillId="0" borderId="5"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Fill="1" applyBorder="1" applyAlignment="1" applyProtection="1">
      <alignment horizontal="left"/>
      <protection hidden="1"/>
    </xf>
    <xf numFmtId="0" fontId="0" fillId="4" borderId="5" xfId="0" applyFill="1" applyBorder="1" applyAlignment="1" applyProtection="1">
      <alignment horizontal="center"/>
      <protection hidden="1"/>
    </xf>
    <xf numFmtId="0" fontId="0" fillId="0" borderId="0" xfId="0" applyBorder="1" applyAlignment="1" applyProtection="1">
      <alignment horizontal="center"/>
      <protection hidden="1"/>
    </xf>
    <xf numFmtId="0" fontId="1" fillId="0" borderId="4" xfId="0" applyFont="1" applyBorder="1" applyAlignment="1" applyProtection="1">
      <alignment horizontal="center"/>
      <protection hidden="1"/>
    </xf>
    <xf numFmtId="0" fontId="0" fillId="4" borderId="5" xfId="0" applyFill="1" applyBorder="1" applyProtection="1">
      <protection hidden="1"/>
    </xf>
    <xf numFmtId="0" fontId="1" fillId="4" borderId="0" xfId="0" applyFont="1" applyFill="1" applyBorder="1" applyAlignment="1" applyProtection="1">
      <alignment horizontal="center"/>
      <protection hidden="1"/>
    </xf>
    <xf numFmtId="0" fontId="0" fillId="4" borderId="0" xfId="0" applyFill="1" applyBorder="1" applyAlignment="1" applyProtection="1">
      <alignment horizontal="center"/>
      <protection hidden="1"/>
    </xf>
    <xf numFmtId="0" fontId="0" fillId="0" borderId="4" xfId="0" applyFont="1" applyBorder="1" applyAlignment="1" applyProtection="1">
      <alignment horizontal="left"/>
      <protection hidden="1"/>
    </xf>
    <xf numFmtId="0" fontId="0" fillId="0" borderId="5" xfId="0" applyFont="1" applyFill="1" applyBorder="1" applyAlignment="1" applyProtection="1">
      <alignment horizontal="left"/>
      <protection hidden="1"/>
    </xf>
    <xf numFmtId="0" fontId="0" fillId="4" borderId="3" xfId="0" applyFill="1" applyBorder="1" applyAlignment="1" applyProtection="1">
      <alignment horizontal="center"/>
      <protection hidden="1"/>
    </xf>
    <xf numFmtId="0" fontId="0" fillId="4" borderId="2" xfId="0" applyFill="1" applyBorder="1" applyAlignment="1" applyProtection="1">
      <alignment horizontal="center"/>
      <protection hidden="1"/>
    </xf>
    <xf numFmtId="0" fontId="1"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0" fontId="1" fillId="0" borderId="1" xfId="0" applyFont="1" applyBorder="1" applyAlignment="1" applyProtection="1">
      <alignment horizontal="center"/>
      <protection hidden="1"/>
    </xf>
    <xf numFmtId="0" fontId="0" fillId="4" borderId="3" xfId="0" applyFill="1" applyBorder="1" applyProtection="1">
      <protection hidden="1"/>
    </xf>
    <xf numFmtId="0" fontId="0" fillId="4" borderId="2" xfId="0" applyFont="1" applyFill="1" applyBorder="1" applyAlignment="1" applyProtection="1">
      <alignment horizontal="center"/>
      <protection hidden="1"/>
    </xf>
    <xf numFmtId="0" fontId="0" fillId="0" borderId="2" xfId="0" applyBorder="1" applyProtection="1">
      <protection hidden="1"/>
    </xf>
    <xf numFmtId="0" fontId="0" fillId="0" borderId="3" xfId="0" applyBorder="1" applyAlignment="1" applyProtection="1">
      <alignment horizontal="center"/>
      <protection hidden="1"/>
    </xf>
    <xf numFmtId="0" fontId="0" fillId="0" borderId="2" xfId="0" applyFont="1" applyBorder="1" applyAlignment="1" applyProtection="1">
      <alignment horizontal="center"/>
      <protection hidden="1"/>
    </xf>
    <xf numFmtId="0" fontId="1" fillId="0" borderId="3" xfId="0" applyFont="1" applyBorder="1" applyAlignment="1" applyProtection="1">
      <alignment horizontal="center"/>
      <protection hidden="1"/>
    </xf>
    <xf numFmtId="0" fontId="0" fillId="0" borderId="0" xfId="0" applyFont="1" applyProtection="1">
      <protection hidden="1"/>
    </xf>
    <xf numFmtId="0" fontId="0" fillId="0" borderId="0" xfId="0" applyAlignment="1" applyProtection="1">
      <alignment horizontal="center"/>
      <protection hidden="1"/>
    </xf>
    <xf numFmtId="0" fontId="2" fillId="0" borderId="0" xfId="1" applyAlignment="1" applyProtection="1">
      <protection hidden="1"/>
    </xf>
    <xf numFmtId="0" fontId="1" fillId="2" borderId="0" xfId="0" applyFont="1" applyFill="1" applyProtection="1">
      <protection hidden="1"/>
    </xf>
    <xf numFmtId="0" fontId="1" fillId="0" borderId="0" xfId="0" applyFont="1" applyAlignment="1" applyProtection="1">
      <alignment horizontal="left"/>
      <protection hidden="1"/>
    </xf>
    <xf numFmtId="0" fontId="0" fillId="2" borderId="0" xfId="0" applyFill="1" applyAlignment="1" applyProtection="1">
      <alignment horizontal="center"/>
      <protection hidden="1"/>
    </xf>
    <xf numFmtId="0" fontId="0" fillId="0" borderId="1" xfId="0" applyBorder="1" applyAlignment="1" applyProtection="1">
      <alignment horizontal="center"/>
      <protection hidden="1"/>
    </xf>
    <xf numFmtId="0" fontId="0" fillId="3" borderId="0" xfId="0" applyFill="1" applyProtection="1">
      <protection hidden="1"/>
    </xf>
    <xf numFmtId="0" fontId="0" fillId="2" borderId="5" xfId="0" applyFill="1" applyBorder="1" applyAlignment="1" applyProtection="1">
      <alignment horizontal="center"/>
      <protection hidden="1"/>
    </xf>
    <xf numFmtId="0" fontId="0" fillId="2" borderId="5" xfId="0" applyFill="1" applyBorder="1" applyProtection="1">
      <protection hidden="1"/>
    </xf>
    <xf numFmtId="0" fontId="0" fillId="2" borderId="0"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3" xfId="0" applyFill="1" applyBorder="1" applyProtection="1">
      <protection hidden="1"/>
    </xf>
    <xf numFmtId="0" fontId="0" fillId="2" borderId="2" xfId="0" applyFill="1" applyBorder="1" applyAlignment="1" applyProtection="1">
      <alignment horizontal="center"/>
      <protection hidden="1"/>
    </xf>
    <xf numFmtId="0" fontId="0" fillId="0" borderId="0" xfId="0" applyAlignment="1" applyProtection="1">
      <alignment horizontal="left"/>
      <protection hidden="1"/>
    </xf>
    <xf numFmtId="0" fontId="0" fillId="0" borderId="0" xfId="0"/>
    <xf numFmtId="0" fontId="1" fillId="0" borderId="0" xfId="0" applyFont="1" applyAlignment="1" applyProtection="1">
      <alignment horizontal="right"/>
      <protection hidden="1"/>
    </xf>
    <xf numFmtId="0" fontId="5" fillId="0" borderId="0" xfId="0" applyFont="1" applyProtection="1">
      <protection hidden="1"/>
    </xf>
    <xf numFmtId="0" fontId="6" fillId="0" borderId="0" xfId="0" applyFont="1" applyProtection="1">
      <protection hidden="1"/>
    </xf>
    <xf numFmtId="0" fontId="7" fillId="0" borderId="0" xfId="0" applyFont="1" applyProtection="1">
      <protection hidden="1"/>
    </xf>
    <xf numFmtId="0" fontId="4" fillId="0" borderId="0" xfId="0" applyFont="1" applyProtection="1">
      <protection hidden="1"/>
    </xf>
    <xf numFmtId="0" fontId="7" fillId="0" borderId="0" xfId="0" applyFont="1" applyAlignment="1" applyProtection="1">
      <alignment horizontal="left"/>
      <protection hidden="1"/>
    </xf>
    <xf numFmtId="0" fontId="6" fillId="0" borderId="0" xfId="0" applyFont="1" applyAlignment="1" applyProtection="1">
      <alignment horizontal="center"/>
      <protection hidden="1"/>
    </xf>
    <xf numFmtId="0" fontId="4" fillId="0" borderId="10" xfId="0" applyFont="1" applyBorder="1" applyAlignment="1" applyProtection="1">
      <alignment horizontal="center"/>
      <protection hidden="1"/>
    </xf>
    <xf numFmtId="0" fontId="0" fillId="2" borderId="0" xfId="0" applyFill="1"/>
    <xf numFmtId="0" fontId="1" fillId="0" borderId="0" xfId="0" applyFont="1"/>
    <xf numFmtId="0" fontId="6" fillId="0" borderId="1" xfId="0" applyFont="1" applyFill="1" applyBorder="1" applyAlignment="1" applyProtection="1">
      <alignment horizontal="center"/>
      <protection hidden="1"/>
    </xf>
    <xf numFmtId="0" fontId="0" fillId="3" borderId="0" xfId="0" applyFill="1"/>
    <xf numFmtId="0" fontId="9" fillId="0" borderId="0" xfId="2"/>
    <xf numFmtId="0" fontId="9" fillId="0" borderId="0" xfId="2" applyAlignment="1" applyProtection="1">
      <alignment horizontal="center"/>
      <protection hidden="1"/>
    </xf>
    <xf numFmtId="0" fontId="9" fillId="2" borderId="0" xfId="2" applyFill="1" applyProtection="1">
      <protection hidden="1"/>
    </xf>
    <xf numFmtId="0" fontId="9" fillId="0" borderId="0" xfId="2" applyProtection="1">
      <protection hidden="1"/>
    </xf>
    <xf numFmtId="0" fontId="1" fillId="0" borderId="2" xfId="2" applyFont="1" applyBorder="1" applyAlignment="1" applyProtection="1">
      <alignment horizontal="center"/>
      <protection hidden="1"/>
    </xf>
    <xf numFmtId="0" fontId="9" fillId="4" borderId="2" xfId="2" applyFill="1" applyBorder="1" applyAlignment="1" applyProtection="1">
      <alignment horizontal="center"/>
      <protection hidden="1"/>
    </xf>
    <xf numFmtId="0" fontId="9" fillId="4" borderId="2" xfId="2" applyFont="1" applyFill="1" applyBorder="1" applyAlignment="1" applyProtection="1">
      <alignment horizontal="center"/>
      <protection hidden="1"/>
    </xf>
    <xf numFmtId="0" fontId="9" fillId="4" borderId="3" xfId="2" applyFill="1" applyBorder="1" applyProtection="1">
      <protection hidden="1"/>
    </xf>
    <xf numFmtId="0" fontId="1" fillId="0" borderId="0" xfId="2" applyFont="1" applyBorder="1" applyAlignment="1" applyProtection="1">
      <alignment horizontal="center"/>
      <protection hidden="1"/>
    </xf>
    <xf numFmtId="0" fontId="9" fillId="4" borderId="0" xfId="2" applyFill="1" applyBorder="1" applyAlignment="1" applyProtection="1">
      <alignment horizontal="center"/>
      <protection hidden="1"/>
    </xf>
    <xf numFmtId="0" fontId="1" fillId="4" borderId="0" xfId="2" applyFont="1" applyFill="1" applyBorder="1" applyAlignment="1" applyProtection="1">
      <alignment horizontal="center"/>
      <protection hidden="1"/>
    </xf>
    <xf numFmtId="0" fontId="9" fillId="4" borderId="5" xfId="2" applyFill="1" applyBorder="1" applyProtection="1">
      <protection hidden="1"/>
    </xf>
    <xf numFmtId="0" fontId="2" fillId="0" borderId="0" xfId="1" applyAlignment="1" applyProtection="1"/>
    <xf numFmtId="0" fontId="8" fillId="2" borderId="0" xfId="2" applyFont="1" applyFill="1" applyProtection="1">
      <protection hidden="1"/>
    </xf>
    <xf numFmtId="0" fontId="9" fillId="2" borderId="0" xfId="2" applyFill="1"/>
    <xf numFmtId="0" fontId="10" fillId="0" borderId="0" xfId="2" applyFont="1" applyAlignment="1">
      <alignment horizontal="center"/>
    </xf>
    <xf numFmtId="0" fontId="11" fillId="0" borderId="0" xfId="2" applyFont="1"/>
    <xf numFmtId="0" fontId="1" fillId="0" borderId="0" xfId="0" applyFont="1" applyAlignment="1">
      <alignment horizontal="left"/>
    </xf>
    <xf numFmtId="0" fontId="0" fillId="0" borderId="0" xfId="0" applyAlignment="1">
      <alignment horizontal="center"/>
    </xf>
    <xf numFmtId="0" fontId="0" fillId="4" borderId="0" xfId="0" applyFill="1" applyProtection="1">
      <protection hidden="1"/>
    </xf>
    <xf numFmtId="0" fontId="0" fillId="4" borderId="0" xfId="0" applyFill="1" applyAlignment="1" applyProtection="1">
      <alignment horizontal="center"/>
      <protection hidden="1"/>
    </xf>
    <xf numFmtId="0" fontId="1" fillId="0" borderId="0" xfId="0" applyFont="1" applyAlignment="1">
      <alignment horizontal="center"/>
    </xf>
    <xf numFmtId="0" fontId="12"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wrapText="1"/>
    </xf>
    <xf numFmtId="49" fontId="0" fillId="0" borderId="0" xfId="0" applyNumberFormat="1"/>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center"/>
    </xf>
    <xf numFmtId="49" fontId="0" fillId="0" borderId="0" xfId="0" applyNumberFormat="1" applyAlignment="1">
      <alignment horizontal="center"/>
    </xf>
    <xf numFmtId="0" fontId="0" fillId="0" borderId="0" xfId="0" applyAlignment="1">
      <alignment horizontal="left" vertical="center"/>
    </xf>
    <xf numFmtId="4" fontId="0" fillId="0" borderId="0" xfId="0" applyNumberFormat="1"/>
    <xf numFmtId="4" fontId="0" fillId="0" borderId="12" xfId="0" applyNumberFormat="1" applyBorder="1"/>
    <xf numFmtId="0" fontId="0" fillId="0" borderId="13" xfId="0" applyBorder="1" applyAlignment="1">
      <alignment wrapText="1"/>
    </xf>
    <xf numFmtId="49" fontId="0" fillId="0" borderId="14" xfId="0" applyNumberFormat="1" applyBorder="1" applyAlignment="1">
      <alignment horizontal="right"/>
    </xf>
    <xf numFmtId="4" fontId="0" fillId="0" borderId="15" xfId="0" applyNumberFormat="1" applyBorder="1"/>
    <xf numFmtId="0" fontId="0" fillId="0" borderId="0" xfId="0" applyBorder="1" applyAlignment="1">
      <alignment wrapText="1"/>
    </xf>
    <xf numFmtId="49" fontId="0" fillId="0" borderId="16" xfId="0" applyNumberFormat="1" applyBorder="1" applyAlignment="1">
      <alignment horizontal="right"/>
    </xf>
    <xf numFmtId="0" fontId="0" fillId="0" borderId="16" xfId="0" applyBorder="1" applyAlignment="1">
      <alignment horizontal="right" wrapText="1"/>
    </xf>
    <xf numFmtId="12" fontId="0" fillId="0" borderId="16" xfId="0" applyNumberFormat="1" applyBorder="1" applyAlignment="1">
      <alignment wrapText="1"/>
    </xf>
    <xf numFmtId="0" fontId="0" fillId="0" borderId="16" xfId="0" applyBorder="1" applyAlignment="1">
      <alignment wrapText="1"/>
    </xf>
    <xf numFmtId="4" fontId="0" fillId="0" borderId="17" xfId="0" applyNumberFormat="1" applyBorder="1"/>
    <xf numFmtId="0" fontId="0" fillId="0" borderId="18" xfId="0" applyBorder="1" applyAlignment="1">
      <alignment wrapText="1"/>
    </xf>
    <xf numFmtId="0" fontId="0" fillId="0" borderId="19" xfId="0" applyBorder="1" applyAlignment="1">
      <alignment wrapText="1"/>
    </xf>
    <xf numFmtId="0" fontId="1" fillId="0" borderId="12" xfId="0" applyFont="1" applyBorder="1" applyAlignment="1">
      <alignment horizontal="center" vertical="center" wrapText="1"/>
    </xf>
    <xf numFmtId="0" fontId="1" fillId="0" borderId="13" xfId="0" applyFont="1" applyBorder="1" applyAlignment="1" applyProtection="1">
      <alignment horizontal="center"/>
      <protection hidden="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6" xfId="0" applyFont="1" applyBorder="1" applyAlignment="1">
      <alignment horizontal="center" vertical="center" wrapText="1"/>
    </xf>
    <xf numFmtId="4" fontId="1" fillId="0" borderId="17" xfId="0" applyNumberFormat="1" applyFont="1" applyBorder="1"/>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4" fontId="1" fillId="0" borderId="0" xfId="0" applyNumberFormat="1" applyFont="1" applyAlignment="1">
      <alignment horizontal="center" vertical="center"/>
    </xf>
    <xf numFmtId="4" fontId="0" fillId="0" borderId="0" xfId="0" applyNumberFormat="1" applyFill="1" applyBorder="1" applyAlignment="1">
      <alignment horizontal="center" vertical="center"/>
    </xf>
    <xf numFmtId="4" fontId="0" fillId="0" borderId="0" xfId="0" applyNumberFormat="1" applyAlignment="1">
      <alignment horizontal="right" vertical="center"/>
    </xf>
    <xf numFmtId="0" fontId="0" fillId="0" borderId="0" xfId="0" applyAlignment="1">
      <alignment wrapText="1"/>
    </xf>
    <xf numFmtId="16" fontId="0" fillId="0" borderId="0" xfId="0" applyNumberFormat="1" applyAlignment="1">
      <alignment wrapText="1"/>
    </xf>
    <xf numFmtId="12" fontId="0" fillId="0" borderId="0" xfId="0" applyNumberFormat="1" applyAlignment="1">
      <alignment wrapText="1"/>
    </xf>
    <xf numFmtId="0" fontId="0" fillId="2" borderId="20" xfId="0" applyFill="1" applyBorder="1" applyProtection="1">
      <protection hidden="1"/>
    </xf>
    <xf numFmtId="0" fontId="0" fillId="2" borderId="22" xfId="0" applyFill="1" applyBorder="1" applyProtection="1">
      <protection hidden="1"/>
    </xf>
    <xf numFmtId="0" fontId="0" fillId="0" borderId="12" xfId="0" applyFont="1"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5" xfId="0" applyBorder="1" applyProtection="1">
      <protection hidden="1"/>
    </xf>
    <xf numFmtId="0" fontId="0" fillId="0" borderId="16" xfId="0" applyBorder="1" applyProtection="1">
      <protection hidden="1"/>
    </xf>
    <xf numFmtId="0" fontId="0" fillId="0" borderId="17" xfId="0" applyBorder="1" applyProtection="1">
      <protection hidden="1"/>
    </xf>
    <xf numFmtId="0" fontId="1" fillId="0" borderId="18" xfId="0" applyFont="1" applyBorder="1" applyProtection="1">
      <protection hidden="1"/>
    </xf>
    <xf numFmtId="0" fontId="0" fillId="0" borderId="18" xfId="0" applyBorder="1" applyProtection="1">
      <protection hidden="1"/>
    </xf>
    <xf numFmtId="0" fontId="0" fillId="0" borderId="19" xfId="0" applyBorder="1" applyProtection="1">
      <protection hidden="1"/>
    </xf>
    <xf numFmtId="0" fontId="0" fillId="0" borderId="0" xfId="0" applyFont="1"/>
    <xf numFmtId="0" fontId="0" fillId="0" borderId="0" xfId="0"/>
    <xf numFmtId="0" fontId="4" fillId="0" borderId="10" xfId="0" applyFont="1" applyBorder="1" applyProtection="1">
      <protection hidden="1"/>
    </xf>
    <xf numFmtId="0" fontId="7" fillId="0" borderId="9" xfId="0" applyFont="1" applyBorder="1" applyProtection="1">
      <protection hidden="1"/>
    </xf>
    <xf numFmtId="0" fontId="0" fillId="0" borderId="10" xfId="0" applyFont="1" applyBorder="1" applyProtection="1">
      <protection hidden="1"/>
    </xf>
    <xf numFmtId="0" fontId="0" fillId="0" borderId="10" xfId="0" applyFont="1" applyBorder="1" applyAlignment="1" applyProtection="1">
      <alignment horizontal="center"/>
      <protection hidden="1"/>
    </xf>
    <xf numFmtId="0" fontId="0" fillId="0" borderId="11" xfId="0" applyFont="1" applyBorder="1" applyAlignment="1" applyProtection="1">
      <alignment horizontal="center"/>
      <protection hidden="1"/>
    </xf>
    <xf numFmtId="0" fontId="0" fillId="2" borderId="0" xfId="0" applyFill="1"/>
    <xf numFmtId="0" fontId="0" fillId="2" borderId="0" xfId="0" applyFill="1"/>
    <xf numFmtId="0" fontId="0" fillId="2" borderId="0" xfId="0" applyFill="1"/>
    <xf numFmtId="0" fontId="0" fillId="2" borderId="7" xfId="0" applyFill="1" applyBorder="1" applyProtection="1">
      <protection hidden="1"/>
    </xf>
    <xf numFmtId="0" fontId="1" fillId="2" borderId="2" xfId="0" applyFont="1" applyFill="1" applyBorder="1" applyAlignment="1" applyProtection="1">
      <alignment horizontal="center"/>
      <protection hidden="1"/>
    </xf>
    <xf numFmtId="0" fontId="1" fillId="0" borderId="2" xfId="0" applyFont="1" applyBorder="1" applyAlignment="1" applyProtection="1">
      <alignment horizontal="left"/>
      <protection hidden="1"/>
    </xf>
    <xf numFmtId="0" fontId="0" fillId="0" borderId="12" xfId="0" applyBorder="1" applyProtection="1">
      <protection hidden="1"/>
    </xf>
    <xf numFmtId="0" fontId="0" fillId="0" borderId="15" xfId="0" applyFont="1" applyBorder="1" applyProtection="1">
      <protection hidden="1"/>
    </xf>
    <xf numFmtId="0" fontId="0" fillId="0" borderId="17" xfId="0" applyFont="1" applyBorder="1" applyProtection="1">
      <protection hidden="1"/>
    </xf>
    <xf numFmtId="0" fontId="0" fillId="0" borderId="0" xfId="0" applyFill="1" applyBorder="1" applyAlignment="1">
      <alignment wrapText="1"/>
    </xf>
    <xf numFmtId="0" fontId="1" fillId="2" borderId="0" xfId="0" applyFont="1" applyFill="1"/>
    <xf numFmtId="20" fontId="0" fillId="0" borderId="0" xfId="0" applyNumberFormat="1"/>
    <xf numFmtId="0" fontId="0" fillId="0" borderId="0" xfId="0" applyNumberFormat="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20" fontId="0" fillId="0" borderId="14" xfId="0" applyNumberFormat="1" applyBorder="1"/>
    <xf numFmtId="0" fontId="0" fillId="2" borderId="18" xfId="0" applyFill="1" applyBorder="1"/>
    <xf numFmtId="0" fontId="0" fillId="0" borderId="0" xfId="0" applyFill="1" applyBorder="1"/>
    <xf numFmtId="0" fontId="1" fillId="0" borderId="13" xfId="0" applyFont="1" applyBorder="1" applyProtection="1">
      <protection hidden="1"/>
    </xf>
    <xf numFmtId="0" fontId="1" fillId="0" borderId="0" xfId="0" applyFont="1" applyBorder="1" applyProtection="1">
      <protection hidden="1"/>
    </xf>
    <xf numFmtId="0" fontId="2" fillId="0" borderId="0" xfId="1" applyBorder="1" applyAlignment="1" applyProtection="1">
      <protection hidden="1"/>
    </xf>
    <xf numFmtId="0" fontId="0" fillId="2" borderId="23" xfId="0" applyFill="1" applyBorder="1" applyProtection="1">
      <protection hidden="1"/>
    </xf>
    <xf numFmtId="0" fontId="0" fillId="2" borderId="24" xfId="0" applyFill="1" applyBorder="1" applyProtection="1">
      <protection hidden="1"/>
    </xf>
    <xf numFmtId="0" fontId="0" fillId="0" borderId="15" xfId="0" applyBorder="1"/>
    <xf numFmtId="0" fontId="0" fillId="0" borderId="0" xfId="0" applyBorder="1"/>
    <xf numFmtId="0" fontId="0" fillId="2" borderId="0" xfId="0" applyFill="1" applyBorder="1"/>
    <xf numFmtId="0" fontId="0" fillId="0" borderId="18" xfId="0" applyBorder="1" applyAlignment="1" applyProtection="1">
      <alignment horizontal="center"/>
      <protection hidden="1"/>
    </xf>
    <xf numFmtId="0" fontId="0" fillId="0" borderId="0" xfId="0" applyFont="1" applyBorder="1" applyProtection="1">
      <protection hidden="1"/>
    </xf>
    <xf numFmtId="0" fontId="0" fillId="0" borderId="23" xfId="0" applyBorder="1" applyProtection="1">
      <protection hidden="1"/>
    </xf>
    <xf numFmtId="0" fontId="0" fillId="0" borderId="25" xfId="0" applyBorder="1" applyProtection="1">
      <protection hidden="1"/>
    </xf>
    <xf numFmtId="0" fontId="0" fillId="0" borderId="24" xfId="0" applyBorder="1" applyProtection="1">
      <protection hidden="1"/>
    </xf>
    <xf numFmtId="0" fontId="0" fillId="0" borderId="20"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0" xfId="0"/>
    <xf numFmtId="0" fontId="13" fillId="0" borderId="0" xfId="0" applyFont="1" applyProtection="1">
      <protection hidden="1"/>
    </xf>
    <xf numFmtId="0" fontId="14" fillId="0" borderId="0" xfId="1" applyFont="1" applyAlignment="1" applyProtection="1">
      <protection hidden="1"/>
    </xf>
    <xf numFmtId="0" fontId="0" fillId="0" borderId="19" xfId="0" applyBorder="1" applyAlignment="1">
      <alignment horizontal="center"/>
    </xf>
    <xf numFmtId="0" fontId="0" fillId="0" borderId="17"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0" fontId="0" fillId="4" borderId="3" xfId="0" applyFill="1" applyBorder="1" applyAlignment="1" applyProtection="1">
      <alignment horizontal="left"/>
      <protection hidden="1"/>
    </xf>
    <xf numFmtId="0" fontId="1" fillId="0" borderId="0" xfId="0" applyFont="1" applyAlignment="1">
      <alignment horizontal="center" vertical="center" wrapText="1"/>
    </xf>
    <xf numFmtId="0" fontId="0" fillId="2" borderId="0" xfId="0" applyFont="1" applyFill="1" applyProtection="1">
      <protection hidden="1"/>
    </xf>
    <xf numFmtId="0" fontId="0" fillId="0" borderId="16" xfId="0" applyBorder="1"/>
    <xf numFmtId="0" fontId="15" fillId="0" borderId="0" xfId="0" applyFont="1"/>
    <xf numFmtId="0" fontId="17" fillId="0" borderId="0" xfId="3" applyAlignment="1" applyProtection="1"/>
    <xf numFmtId="0" fontId="9" fillId="0" borderId="0" xfId="2" applyAlignment="1">
      <alignment horizontal="center"/>
    </xf>
    <xf numFmtId="0" fontId="9" fillId="0" borderId="0" xfId="2" applyFill="1" applyAlignment="1">
      <alignment horizontal="left"/>
    </xf>
    <xf numFmtId="14" fontId="0" fillId="0" borderId="0" xfId="0" applyNumberFormat="1"/>
    <xf numFmtId="16" fontId="0" fillId="0" borderId="0" xfId="0" applyNumberFormat="1"/>
    <xf numFmtId="0" fontId="0" fillId="0" borderId="0" xfId="0" applyFont="1" applyAlignment="1">
      <alignment horizontal="center"/>
    </xf>
    <xf numFmtId="0" fontId="0" fillId="0" borderId="0" xfId="0" applyAlignment="1">
      <alignment horizontal="left"/>
    </xf>
    <xf numFmtId="0" fontId="0" fillId="0" borderId="0" xfId="0" applyAlignment="1">
      <alignment horizontal="right"/>
    </xf>
    <xf numFmtId="0" fontId="1" fillId="0" borderId="18" xfId="0" applyFont="1" applyBorder="1"/>
    <xf numFmtId="0" fontId="1" fillId="0" borderId="13" xfId="0" applyFont="1" applyBorder="1"/>
    <xf numFmtId="0" fontId="0" fillId="2" borderId="13" xfId="0" applyFill="1" applyBorder="1"/>
    <xf numFmtId="0" fontId="19" fillId="0" borderId="0" xfId="0" applyFont="1"/>
    <xf numFmtId="0" fontId="0" fillId="0" borderId="20" xfId="0" applyBorder="1"/>
    <xf numFmtId="0" fontId="0" fillId="0" borderId="21" xfId="0" applyBorder="1"/>
    <xf numFmtId="0" fontId="0" fillId="0" borderId="22" xfId="0" applyBorder="1"/>
    <xf numFmtId="0" fontId="0" fillId="2" borderId="20" xfId="0" applyFill="1" applyBorder="1"/>
    <xf numFmtId="0" fontId="0" fillId="2" borderId="21" xfId="0" applyFill="1" applyBorder="1"/>
    <xf numFmtId="0" fontId="20" fillId="0" borderId="0" xfId="0" applyFont="1" applyAlignment="1">
      <alignment horizontal="center"/>
    </xf>
    <xf numFmtId="0" fontId="20" fillId="0" borderId="9" xfId="0" applyFont="1" applyBorder="1" applyAlignment="1">
      <alignment horizontal="center"/>
    </xf>
    <xf numFmtId="0" fontId="20" fillId="0" borderId="10" xfId="0" applyFont="1" applyBorder="1" applyAlignment="1">
      <alignment horizontal="center"/>
    </xf>
    <xf numFmtId="0" fontId="21" fillId="0" borderId="10" xfId="0" applyFont="1" applyBorder="1" applyAlignment="1">
      <alignment horizontal="center"/>
    </xf>
    <xf numFmtId="0" fontId="20" fillId="0" borderId="11" xfId="0" applyFont="1" applyBorder="1" applyAlignment="1">
      <alignment horizontal="center"/>
    </xf>
    <xf numFmtId="0" fontId="20" fillId="0" borderId="20" xfId="0" applyFont="1" applyBorder="1" applyAlignment="1">
      <alignment horizontal="center"/>
    </xf>
    <xf numFmtId="0" fontId="20" fillId="0" borderId="21" xfId="0" applyFont="1" applyBorder="1" applyAlignment="1">
      <alignment horizontal="center"/>
    </xf>
    <xf numFmtId="0" fontId="20" fillId="0" borderId="22" xfId="0" applyFont="1" applyBorder="1" applyAlignment="1">
      <alignment horizontal="center"/>
    </xf>
    <xf numFmtId="0" fontId="22" fillId="0" borderId="0" xfId="0" applyFont="1" applyAlignment="1">
      <alignment horizontal="center"/>
    </xf>
    <xf numFmtId="0" fontId="0" fillId="0" borderId="0" xfId="0"/>
    <xf numFmtId="0" fontId="0" fillId="0" borderId="0" xfId="0" applyFill="1" applyBorder="1"/>
    <xf numFmtId="0" fontId="0" fillId="2" borderId="20" xfId="0" applyFill="1" applyBorder="1"/>
    <xf numFmtId="0" fontId="0" fillId="0" borderId="21" xfId="0" applyBorder="1"/>
    <xf numFmtId="0" fontId="0" fillId="0" borderId="0" xfId="0"/>
    <xf numFmtId="0" fontId="0" fillId="0" borderId="18" xfId="0" applyBorder="1"/>
    <xf numFmtId="0" fontId="0" fillId="0" borderId="0" xfId="0" applyFill="1" applyBorder="1"/>
    <xf numFmtId="0" fontId="0" fillId="0" borderId="0" xfId="0"/>
    <xf numFmtId="0" fontId="0" fillId="0" borderId="21" xfId="0" applyBorder="1"/>
    <xf numFmtId="0" fontId="0" fillId="0" borderId="0" xfId="0" applyFill="1" applyBorder="1"/>
    <xf numFmtId="0" fontId="0" fillId="0" borderId="0" xfId="0"/>
    <xf numFmtId="0" fontId="0" fillId="0" borderId="21" xfId="0" applyBorder="1"/>
    <xf numFmtId="0" fontId="0" fillId="0" borderId="0" xfId="0" applyFill="1" applyBorder="1"/>
    <xf numFmtId="0" fontId="0" fillId="0" borderId="0" xfId="0"/>
    <xf numFmtId="0" fontId="1" fillId="0" borderId="0" xfId="0" applyFont="1"/>
    <xf numFmtId="0" fontId="0" fillId="2" borderId="0" xfId="0" applyFill="1" applyBorder="1"/>
    <xf numFmtId="0" fontId="0" fillId="0" borderId="21" xfId="0" applyBorder="1"/>
    <xf numFmtId="0" fontId="1" fillId="0" borderId="15" xfId="0" applyFont="1" applyBorder="1"/>
    <xf numFmtId="0" fontId="1" fillId="0" borderId="0" xfId="0" applyFont="1" applyBorder="1"/>
    <xf numFmtId="0" fontId="1" fillId="0" borderId="16" xfId="0" applyFont="1" applyBorder="1"/>
    <xf numFmtId="0" fontId="1" fillId="2" borderId="12" xfId="0" applyFont="1" applyFill="1" applyBorder="1"/>
    <xf numFmtId="0" fontId="0" fillId="0" borderId="0" xfId="0" applyFont="1" applyBorder="1"/>
    <xf numFmtId="0" fontId="0" fillId="0" borderId="18" xfId="0" applyFont="1" applyBorder="1"/>
    <xf numFmtId="0" fontId="24" fillId="0" borderId="0" xfId="1" applyFont="1" applyAlignment="1" applyProtection="1"/>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0" fillId="0" borderId="28" xfId="0" applyBorder="1" applyAlignment="1">
      <alignment wrapText="1"/>
    </xf>
    <xf numFmtId="0" fontId="0" fillId="0" borderId="29" xfId="0" applyFill="1" applyBorder="1" applyAlignment="1">
      <alignment wrapText="1"/>
    </xf>
    <xf numFmtId="0" fontId="26" fillId="0" borderId="0" xfId="0" applyFont="1" applyAlignment="1">
      <alignment horizontal="center" readingOrder="1"/>
    </xf>
    <xf numFmtId="0" fontId="1" fillId="0" borderId="21" xfId="0" applyFont="1" applyBorder="1"/>
    <xf numFmtId="0" fontId="0" fillId="2" borderId="12" xfId="0" applyFill="1" applyBorder="1"/>
    <xf numFmtId="0" fontId="0" fillId="2" borderId="15" xfId="0" applyFill="1" applyBorder="1"/>
    <xf numFmtId="0" fontId="7" fillId="0" borderId="0" xfId="0" applyFont="1"/>
    <xf numFmtId="164" fontId="0" fillId="0" borderId="0" xfId="0" applyNumberFormat="1"/>
    <xf numFmtId="0" fontId="0" fillId="4" borderId="0" xfId="0" applyFill="1"/>
    <xf numFmtId="11" fontId="0" fillId="0" borderId="0" xfId="0" applyNumberFormat="1"/>
    <xf numFmtId="11" fontId="1" fillId="0" borderId="0" xfId="0" applyNumberFormat="1" applyFont="1"/>
    <xf numFmtId="0" fontId="0" fillId="0" borderId="0" xfId="0" applyNumberFormat="1" applyProtection="1">
      <protection hidden="1"/>
    </xf>
    <xf numFmtId="0" fontId="0" fillId="0" borderId="21" xfId="0" applyFont="1" applyBorder="1"/>
    <xf numFmtId="0" fontId="0" fillId="0" borderId="0" xfId="0"/>
    <xf numFmtId="0" fontId="1" fillId="0" borderId="0" xfId="0" applyFont="1"/>
    <xf numFmtId="0" fontId="0" fillId="0" borderId="0" xfId="0" applyAlignment="1">
      <alignment horizontal="left" indent="1"/>
    </xf>
    <xf numFmtId="0" fontId="0" fillId="0" borderId="0" xfId="0" applyAlignment="1">
      <alignment horizontal="center"/>
    </xf>
    <xf numFmtId="0" fontId="27" fillId="0" borderId="0" xfId="0" applyFont="1"/>
    <xf numFmtId="0" fontId="28" fillId="0" borderId="0" xfId="0" applyFont="1"/>
    <xf numFmtId="0" fontId="29" fillId="0" borderId="0" xfId="0" applyFont="1"/>
    <xf numFmtId="0" fontId="30" fillId="0" borderId="0" xfId="0" applyFont="1"/>
    <xf numFmtId="0" fontId="0" fillId="0" borderId="0" xfId="0" applyNumberFormat="1"/>
    <xf numFmtId="0" fontId="31" fillId="0" borderId="0" xfId="0" applyFont="1"/>
    <xf numFmtId="0" fontId="30" fillId="0" borderId="30" xfId="0" applyFont="1" applyBorder="1" applyAlignment="1">
      <alignment vertical="top" wrapText="1"/>
    </xf>
    <xf numFmtId="0" fontId="30" fillId="0" borderId="31" xfId="0" applyFont="1" applyBorder="1" applyAlignment="1">
      <alignment vertical="top" wrapText="1"/>
    </xf>
    <xf numFmtId="0" fontId="30" fillId="0" borderId="25" xfId="0" applyFont="1" applyBorder="1" applyAlignment="1">
      <alignment horizontal="right" vertical="top" wrapText="1"/>
    </xf>
    <xf numFmtId="0" fontId="30" fillId="0" borderId="24" xfId="0" applyFont="1" applyBorder="1" applyAlignment="1">
      <alignment horizontal="right" vertical="top" wrapText="1"/>
    </xf>
    <xf numFmtId="0" fontId="30" fillId="0" borderId="4" xfId="0" applyFont="1" applyBorder="1" applyAlignment="1">
      <alignment horizontal="right" vertical="top" wrapText="1"/>
    </xf>
    <xf numFmtId="0" fontId="30" fillId="0" borderId="1" xfId="0" applyFont="1" applyBorder="1" applyAlignment="1">
      <alignment horizontal="right" vertical="top" wrapText="1"/>
    </xf>
    <xf numFmtId="0" fontId="7" fillId="0" borderId="9" xfId="0" applyFont="1" applyBorder="1" applyAlignment="1" applyProtection="1">
      <alignment horizontal="center"/>
      <protection hidden="1"/>
    </xf>
    <xf numFmtId="0" fontId="4" fillId="0" borderId="10" xfId="0" applyFont="1" applyBorder="1" applyAlignment="1" applyProtection="1">
      <alignment horizontal="left"/>
      <protection hidden="1"/>
    </xf>
    <xf numFmtId="0" fontId="0" fillId="0" borderId="11" xfId="0" applyBorder="1" applyProtection="1">
      <protection hidden="1"/>
    </xf>
    <xf numFmtId="0" fontId="7" fillId="0" borderId="10" xfId="0" applyFont="1" applyBorder="1" applyProtection="1">
      <protection hidden="1"/>
    </xf>
    <xf numFmtId="0" fontId="5" fillId="0" borderId="10" xfId="0" applyFont="1" applyBorder="1" applyProtection="1">
      <protection hidden="1"/>
    </xf>
    <xf numFmtId="0" fontId="6" fillId="0" borderId="11" xfId="0" applyFont="1" applyBorder="1" applyProtection="1">
      <protection hidden="1"/>
    </xf>
    <xf numFmtId="0" fontId="0" fillId="0" borderId="10" xfId="0" applyBorder="1" applyProtection="1">
      <protection hidden="1"/>
    </xf>
    <xf numFmtId="0" fontId="7" fillId="0" borderId="17" xfId="0" applyFont="1" applyBorder="1" applyProtection="1">
      <protection hidden="1"/>
    </xf>
    <xf numFmtId="0" fontId="4" fillId="0" borderId="18" xfId="0" applyFont="1" applyBorder="1" applyProtection="1">
      <protection hidden="1"/>
    </xf>
    <xf numFmtId="0" fontId="7" fillId="0" borderId="19" xfId="0" applyFont="1" applyBorder="1" applyProtection="1">
      <protection hidden="1"/>
    </xf>
    <xf numFmtId="0" fontId="0" fillId="0" borderId="0" xfId="0"/>
    <xf numFmtId="0" fontId="0" fillId="0" borderId="0" xfId="0"/>
    <xf numFmtId="0" fontId="0" fillId="0" borderId="0" xfId="0"/>
    <xf numFmtId="0" fontId="0" fillId="0" borderId="0" xfId="0" applyFill="1"/>
    <xf numFmtId="0" fontId="0" fillId="0" borderId="0" xfId="0" applyFill="1" applyAlignment="1">
      <alignment horizontal="right"/>
    </xf>
    <xf numFmtId="0" fontId="32" fillId="0" borderId="0" xfId="0" applyFont="1" applyAlignment="1">
      <alignment horizontal="left" wrapText="1" indent="1"/>
    </xf>
    <xf numFmtId="0" fontId="2" fillId="0" borderId="0" xfId="1" applyAlignment="1" applyProtection="1">
      <alignment horizontal="left" wrapText="1" indent="1"/>
    </xf>
    <xf numFmtId="0" fontId="32" fillId="0" borderId="0" xfId="0" applyFont="1"/>
    <xf numFmtId="21" fontId="0" fillId="0" borderId="0" xfId="0" applyNumberFormat="1"/>
    <xf numFmtId="0" fontId="0" fillId="0" borderId="21" xfId="0" applyNumberFormat="1" applyBorder="1"/>
    <xf numFmtId="0" fontId="7" fillId="0" borderId="18" xfId="0" applyFont="1" applyBorder="1"/>
    <xf numFmtId="0" fontId="7" fillId="0" borderId="22" xfId="0" applyFont="1" applyBorder="1"/>
    <xf numFmtId="0" fontId="7" fillId="0" borderId="21" xfId="0" applyFont="1" applyBorder="1"/>
    <xf numFmtId="0" fontId="7" fillId="0" borderId="15" xfId="0" applyFont="1" applyBorder="1"/>
    <xf numFmtId="0" fontId="7" fillId="0" borderId="0" xfId="0" applyFont="1" applyBorder="1"/>
    <xf numFmtId="0" fontId="7" fillId="0" borderId="16" xfId="0" applyFont="1" applyBorder="1"/>
    <xf numFmtId="164" fontId="0" fillId="0" borderId="21" xfId="0" applyNumberFormat="1" applyFont="1" applyBorder="1"/>
    <xf numFmtId="0" fontId="0" fillId="0" borderId="22" xfId="0" applyFont="1" applyBorder="1"/>
    <xf numFmtId="0" fontId="0" fillId="0" borderId="20" xfId="0" applyFont="1" applyBorder="1"/>
    <xf numFmtId="0" fontId="7" fillId="0" borderId="13" xfId="0" applyFont="1" applyBorder="1"/>
    <xf numFmtId="0" fontId="7" fillId="0" borderId="20" xfId="0" applyFont="1" applyBorder="1"/>
    <xf numFmtId="0" fontId="0" fillId="0" borderId="0" xfId="0" quotePrefix="1"/>
    <xf numFmtId="0" fontId="0" fillId="2" borderId="21" xfId="0" applyNumberFormat="1" applyFill="1" applyBorder="1" applyAlignment="1">
      <alignment horizontal="right"/>
    </xf>
    <xf numFmtId="0" fontId="0" fillId="2" borderId="21" xfId="0" applyNumberFormat="1" applyFill="1" applyBorder="1"/>
    <xf numFmtId="0" fontId="1" fillId="0" borderId="0" xfId="0" applyFont="1" applyFill="1" applyBorder="1" applyProtection="1">
      <protection hidden="1"/>
    </xf>
    <xf numFmtId="0" fontId="0" fillId="2" borderId="9" xfId="0" applyFont="1" applyFill="1" applyBorder="1" applyProtection="1">
      <protection hidden="1"/>
    </xf>
    <xf numFmtId="0" fontId="0" fillId="2" borderId="11" xfId="0" applyFont="1" applyFill="1" applyBorder="1" applyProtection="1">
      <protection hidden="1"/>
    </xf>
    <xf numFmtId="0" fontId="1" fillId="0" borderId="12" xfId="0" applyFont="1" applyBorder="1" applyProtection="1">
      <protection hidden="1"/>
    </xf>
    <xf numFmtId="0" fontId="0" fillId="2" borderId="14" xfId="0" applyFill="1" applyBorder="1" applyProtection="1">
      <protection hidden="1"/>
    </xf>
    <xf numFmtId="0" fontId="0" fillId="2" borderId="21" xfId="0" applyFont="1" applyFill="1" applyBorder="1" applyProtection="1">
      <protection hidden="1"/>
    </xf>
    <xf numFmtId="0" fontId="0" fillId="2" borderId="22" xfId="0" applyFont="1" applyFill="1" applyBorder="1" applyProtection="1">
      <protection hidden="1"/>
    </xf>
    <xf numFmtId="0" fontId="0" fillId="0" borderId="1" xfId="0" applyBorder="1"/>
    <xf numFmtId="0" fontId="0" fillId="0" borderId="2" xfId="0" applyBorder="1"/>
    <xf numFmtId="2" fontId="0" fillId="0" borderId="2" xfId="0" applyNumberFormat="1" applyBorder="1"/>
    <xf numFmtId="0" fontId="0" fillId="0" borderId="3" xfId="0" applyBorder="1"/>
    <xf numFmtId="0" fontId="0" fillId="0" borderId="4" xfId="0" applyBorder="1"/>
    <xf numFmtId="2" fontId="0" fillId="0" borderId="0" xfId="0" applyNumberFormat="1"/>
    <xf numFmtId="0" fontId="0" fillId="0" borderId="5" xfId="0" applyBorder="1"/>
    <xf numFmtId="2" fontId="0" fillId="0" borderId="19" xfId="0" applyNumberFormat="1" applyBorder="1" applyAlignment="1">
      <alignment horizontal="center"/>
    </xf>
    <xf numFmtId="2" fontId="0" fillId="0" borderId="10" xfId="0" applyNumberFormat="1" applyBorder="1" applyAlignment="1">
      <alignment horizontal="center"/>
    </xf>
    <xf numFmtId="2" fontId="0" fillId="0" borderId="18" xfId="0" applyNumberFormat="1" applyBorder="1" applyAlignment="1">
      <alignment horizontal="center"/>
    </xf>
    <xf numFmtId="2" fontId="0" fillId="0" borderId="17" xfId="0" applyNumberFormat="1" applyBorder="1" applyAlignment="1">
      <alignment horizontal="center"/>
    </xf>
    <xf numFmtId="2" fontId="0" fillId="0" borderId="16" xfId="0" applyNumberFormat="1" applyBorder="1" applyAlignment="1">
      <alignment horizontal="center"/>
    </xf>
    <xf numFmtId="2" fontId="0" fillId="0" borderId="0" xfId="0" applyNumberFormat="1" applyAlignment="1">
      <alignment horizontal="center"/>
    </xf>
    <xf numFmtId="2" fontId="0" fillId="0" borderId="15" xfId="0" applyNumberFormat="1" applyBorder="1" applyAlignment="1">
      <alignment horizontal="center"/>
    </xf>
    <xf numFmtId="2" fontId="0" fillId="0" borderId="21" xfId="0" applyNumberFormat="1" applyBorder="1" applyAlignment="1">
      <alignment horizontal="center"/>
    </xf>
    <xf numFmtId="2" fontId="0" fillId="0" borderId="0" xfId="0" applyNumberFormat="1" applyAlignment="1">
      <alignment horizontal="left"/>
    </xf>
    <xf numFmtId="2" fontId="0" fillId="2" borderId="0" xfId="0" applyNumberFormat="1" applyFill="1" applyAlignment="1">
      <alignment horizontal="center"/>
    </xf>
    <xf numFmtId="2" fontId="1" fillId="0" borderId="0" xfId="0" applyNumberFormat="1" applyFont="1" applyAlignment="1">
      <alignment horizontal="left"/>
    </xf>
    <xf numFmtId="2" fontId="1" fillId="0" borderId="0" xfId="0" applyNumberFormat="1" applyFont="1" applyAlignment="1">
      <alignment horizontal="center"/>
    </xf>
    <xf numFmtId="2" fontId="0" fillId="0" borderId="14" xfId="0" applyNumberFormat="1" applyBorder="1" applyAlignment="1">
      <alignment horizontal="center"/>
    </xf>
    <xf numFmtId="2" fontId="0" fillId="0" borderId="13" xfId="0" applyNumberFormat="1" applyBorder="1" applyAlignment="1">
      <alignment horizontal="center"/>
    </xf>
    <xf numFmtId="2" fontId="0" fillId="0" borderId="12" xfId="0" applyNumberFormat="1" applyBorder="1" applyAlignment="1">
      <alignment horizontal="center"/>
    </xf>
    <xf numFmtId="0" fontId="0" fillId="0" borderId="6" xfId="0" applyBorder="1"/>
    <xf numFmtId="0" fontId="0" fillId="0" borderId="7" xfId="0" applyBorder="1"/>
    <xf numFmtId="0" fontId="0" fillId="0" borderId="8" xfId="0" applyBorder="1"/>
    <xf numFmtId="0" fontId="1" fillId="0" borderId="11" xfId="0" applyFont="1" applyBorder="1"/>
    <xf numFmtId="0" fontId="1" fillId="0" borderId="9" xfId="0" applyFont="1" applyBorder="1"/>
    <xf numFmtId="2" fontId="0" fillId="0" borderId="32" xfId="0" applyNumberFormat="1" applyBorder="1"/>
    <xf numFmtId="0" fontId="4" fillId="0" borderId="0" xfId="0" applyFont="1"/>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0" xfId="0" applyFont="1" applyAlignment="1">
      <alignment horizontal="center" vertical="center" wrapText="1"/>
    </xf>
  </cellXfs>
  <cellStyles count="4">
    <cellStyle name="Hypertextový odkaz" xfId="1" builtinId="8"/>
    <cellStyle name="Hypertextový odkaz 2" xfId="3"/>
    <cellStyle name="normální" xfId="0" builtinId="0"/>
    <cellStyle name="normální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45.xml.rels><?xml version="1.0" encoding="UTF-8" standalone="yes"?>
<Relationships xmlns="http://schemas.openxmlformats.org/package/2006/relationships"><Relationship Id="rId1" Type="http://schemas.openxmlformats.org/officeDocument/2006/relationships/image" Target="../media/image1.png"/></Relationships>
</file>

<file path=xl/charts/_rels/chart46.xml.rels><?xml version="1.0" encoding="UTF-8" standalone="yes"?>
<Relationships xmlns="http://schemas.openxmlformats.org/package/2006/relationships"><Relationship Id="rId1" Type="http://schemas.openxmlformats.org/officeDocument/2006/relationships/image" Target="../media/image3.png"/></Relationships>
</file>

<file path=xl/charts/_rels/chart47.xml.rels><?xml version="1.0" encoding="UTF-8" standalone="yes"?>
<Relationships xmlns="http://schemas.openxmlformats.org/package/2006/relationships"><Relationship Id="rId1" Type="http://schemas.openxmlformats.org/officeDocument/2006/relationships/image" Target="../media/image5.png"/></Relationships>
</file>

<file path=xl/charts/_rels/chart94.xml.rels><?xml version="1.0" encoding="UTF-8" standalone="yes"?>
<Relationships xmlns="http://schemas.openxmlformats.org/package/2006/relationships"><Relationship Id="rId1" Type="http://schemas.openxmlformats.org/officeDocument/2006/relationships/image" Target="../media/image13.gif"/></Relationships>
</file>

<file path=xl/charts/chart1.xml><?xml version="1.0" encoding="utf-8"?>
<c:chartSpace xmlns:c="http://schemas.openxmlformats.org/drawingml/2006/chart" xmlns:a="http://schemas.openxmlformats.org/drawingml/2006/main" xmlns:r="http://schemas.openxmlformats.org/officeDocument/2006/relationships">
  <c:lang val="cs-CZ"/>
  <c:chart>
    <c:plotArea>
      <c:layout>
        <c:manualLayout>
          <c:layoutTarget val="inner"/>
          <c:xMode val="edge"/>
          <c:yMode val="edge"/>
          <c:x val="6.7006735682203333E-2"/>
          <c:y val="6.5746012517666083E-2"/>
          <c:w val="0.91481895618066333"/>
          <c:h val="0.78280491162385968"/>
        </c:manualLayout>
      </c:layout>
      <c:barChart>
        <c:barDir val="col"/>
        <c:grouping val="clustered"/>
        <c:ser>
          <c:idx val="0"/>
          <c:order val="0"/>
          <c:val>
            <c:numRef>
              <c:f>'10 těles'!$W$100:$W$989</c:f>
              <c:numCache>
                <c:formatCode>General</c:formatCode>
                <c:ptCount val="890"/>
                <c:pt idx="0">
                  <c:v>936.3137146688116</c:v>
                </c:pt>
                <c:pt idx="1">
                  <c:v>949.87740129889039</c:v>
                </c:pt>
                <c:pt idx="2">
                  <c:v>959.12303796201184</c:v>
                </c:pt>
                <c:pt idx="3">
                  <c:v>966.57222238916188</c:v>
                </c:pt>
                <c:pt idx="4">
                  <c:v>972.98487357038664</c:v>
                </c:pt>
                <c:pt idx="5">
                  <c:v>978.7049928392986</c:v>
                </c:pt>
                <c:pt idx="6">
                  <c:v>983.92167472154995</c:v>
                </c:pt>
                <c:pt idx="7">
                  <c:v>988.75167262029186</c:v>
                </c:pt>
                <c:pt idx="8">
                  <c:v>993.27291520777396</c:v>
                </c:pt>
                <c:pt idx="9">
                  <c:v>997.54041506180477</c:v>
                </c:pt>
                <c:pt idx="17">
                  <c:v>0</c:v>
                </c:pt>
                <c:pt idx="18">
                  <c:v>0</c:v>
                </c:pt>
                <c:pt idx="19">
                  <c:v>0</c:v>
                </c:pt>
                <c:pt idx="20">
                  <c:v>944.76249559192945</c:v>
                </c:pt>
                <c:pt idx="21">
                  <c:v>956.41224191357105</c:v>
                </c:pt>
                <c:pt idx="22">
                  <c:v>964.38716464620177</c:v>
                </c:pt>
                <c:pt idx="23">
                  <c:v>970.83559028055333</c:v>
                </c:pt>
                <c:pt idx="24">
                  <c:v>976.40395738412121</c:v>
                </c:pt>
                <c:pt idx="25">
                  <c:v>981.38469089943078</c:v>
                </c:pt>
                <c:pt idx="26">
                  <c:v>985.9384667599677</c:v>
                </c:pt>
                <c:pt idx="27">
                  <c:v>990.16446315871542</c:v>
                </c:pt>
                <c:pt idx="28">
                  <c:v>994.12886353006138</c:v>
                </c:pt>
                <c:pt idx="29">
                  <c:v>997.87838082006806</c:v>
                </c:pt>
                <c:pt idx="37">
                  <c:v>0</c:v>
                </c:pt>
                <c:pt idx="38">
                  <c:v>0</c:v>
                </c:pt>
                <c:pt idx="39">
                  <c:v>0</c:v>
                </c:pt>
                <c:pt idx="40">
                  <c:v>951.74180884942359</c:v>
                </c:pt>
                <c:pt idx="41">
                  <c:v>961.86967224592343</c:v>
                </c:pt>
                <c:pt idx="42">
                  <c:v>968.81768260051967</c:v>
                </c:pt>
                <c:pt idx="43">
                  <c:v>974.44681372403295</c:v>
                </c:pt>
                <c:pt idx="44">
                  <c:v>979.31610320141567</c:v>
                </c:pt>
                <c:pt idx="45">
                  <c:v>983.67824936659827</c:v>
                </c:pt>
                <c:pt idx="46">
                  <c:v>987.6720393976276</c:v>
                </c:pt>
                <c:pt idx="47">
                  <c:v>991.38311573690987</c:v>
                </c:pt>
                <c:pt idx="48">
                  <c:v>994.86861719523529</c:v>
                </c:pt>
                <c:pt idx="49">
                  <c:v>998.16886640336145</c:v>
                </c:pt>
                <c:pt idx="57">
                  <c:v>0</c:v>
                </c:pt>
                <c:pt idx="58">
                  <c:v>0</c:v>
                </c:pt>
                <c:pt idx="59">
                  <c:v>0</c:v>
                </c:pt>
                <c:pt idx="60">
                  <c:v>957.58432607926704</c:v>
                </c:pt>
                <c:pt idx="61">
                  <c:v>966.47797667120676</c:v>
                </c:pt>
                <c:pt idx="62">
                  <c:v>972.58213683615156</c:v>
                </c:pt>
                <c:pt idx="63">
                  <c:v>977.53084381937526</c:v>
                </c:pt>
                <c:pt idx="64">
                  <c:v>981.8141170359703</c:v>
                </c:pt>
                <c:pt idx="65">
                  <c:v>985.65329302255327</c:v>
                </c:pt>
                <c:pt idx="66">
                  <c:v>989.16988479030761</c:v>
                </c:pt>
                <c:pt idx="67">
                  <c:v>992.43885629727572</c:v>
                </c:pt>
                <c:pt idx="68">
                  <c:v>995.5102134364887</c:v>
                </c:pt>
                <c:pt idx="69">
                  <c:v>998.419240947503</c:v>
                </c:pt>
                <c:pt idx="77">
                  <c:v>0</c:v>
                </c:pt>
                <c:pt idx="78">
                  <c:v>0</c:v>
                </c:pt>
                <c:pt idx="79">
                  <c:v>0</c:v>
                </c:pt>
                <c:pt idx="80">
                  <c:v>962.52955619368436</c:v>
                </c:pt>
                <c:pt idx="81">
                  <c:v>970.40549313071449</c:v>
                </c:pt>
                <c:pt idx="82">
                  <c:v>975.8063115778848</c:v>
                </c:pt>
                <c:pt idx="83">
                  <c:v>980.18295130249953</c:v>
                </c:pt>
                <c:pt idx="84">
                  <c:v>983.96976937491297</c:v>
                </c:pt>
                <c:pt idx="85">
                  <c:v>987.36282143853498</c:v>
                </c:pt>
                <c:pt idx="86">
                  <c:v>990.46970216078523</c:v>
                </c:pt>
                <c:pt idx="87">
                  <c:v>993.35677534612046</c:v>
                </c:pt>
                <c:pt idx="88">
                  <c:v>996.06830470159957</c:v>
                </c:pt>
                <c:pt idx="89">
                  <c:v>998.63552100208619</c:v>
                </c:pt>
                <c:pt idx="97">
                  <c:v>0</c:v>
                </c:pt>
                <c:pt idx="98">
                  <c:v>0</c:v>
                </c:pt>
                <c:pt idx="99">
                  <c:v>0</c:v>
                </c:pt>
                <c:pt idx="100">
                  <c:v>966.75446356055102</c:v>
                </c:pt>
                <c:pt idx="101">
                  <c:v>973.77918003033824</c:v>
                </c:pt>
                <c:pt idx="102">
                  <c:v>978.58656234352304</c:v>
                </c:pt>
                <c:pt idx="103">
                  <c:v>982.47711751810357</c:v>
                </c:pt>
                <c:pt idx="104">
                  <c:v>985.83949792495991</c:v>
                </c:pt>
                <c:pt idx="105">
                  <c:v>988.84901278078939</c:v>
                </c:pt>
                <c:pt idx="106">
                  <c:v>991.60184096346461</c:v>
                </c:pt>
                <c:pt idx="107">
                  <c:v>994.15729606078094</c:v>
                </c:pt>
                <c:pt idx="108">
                  <c:v>996.55493679056963</c:v>
                </c:pt>
                <c:pt idx="109">
                  <c:v>998.82267382020348</c:v>
                </c:pt>
                <c:pt idx="117">
                  <c:v>0</c:v>
                </c:pt>
                <c:pt idx="118">
                  <c:v>0</c:v>
                </c:pt>
                <c:pt idx="119">
                  <c:v>0</c:v>
                </c:pt>
                <c:pt idx="120">
                  <c:v>970.39271417059092</c:v>
                </c:pt>
                <c:pt idx="121">
                  <c:v>976.69665576835644</c:v>
                </c:pt>
                <c:pt idx="122">
                  <c:v>980.99799764395857</c:v>
                </c:pt>
                <c:pt idx="123">
                  <c:v>984.47170990889981</c:v>
                </c:pt>
                <c:pt idx="124">
                  <c:v>987.46833151660678</c:v>
                </c:pt>
                <c:pt idx="125">
                  <c:v>990.14588211996397</c:v>
                </c:pt>
                <c:pt idx="126">
                  <c:v>992.5910326500632</c:v>
                </c:pt>
                <c:pt idx="127">
                  <c:v>994.85722819003809</c:v>
                </c:pt>
                <c:pt idx="128">
                  <c:v>996.98011341673282</c:v>
                </c:pt>
                <c:pt idx="129">
                  <c:v>998.98483871162591</c:v>
                </c:pt>
                <c:pt idx="137">
                  <c:v>0</c:v>
                </c:pt>
                <c:pt idx="138">
                  <c:v>0</c:v>
                </c:pt>
                <c:pt idx="139">
                  <c:v>0</c:v>
                </c:pt>
                <c:pt idx="140">
                  <c:v>973.54720347079615</c:v>
                </c:pt>
                <c:pt idx="141">
                  <c:v>979.23424858400563</c:v>
                </c:pt>
                <c:pt idx="142">
                  <c:v>983.10006014847454</c:v>
                </c:pt>
                <c:pt idx="143">
                  <c:v>986.2134205411528</c:v>
                </c:pt>
                <c:pt idx="144">
                  <c:v>988.89265554264477</c:v>
                </c:pt>
                <c:pt idx="145">
                  <c:v>991.28118185960807</c:v>
                </c:pt>
                <c:pt idx="146">
                  <c:v>993.4576452697687</c:v>
                </c:pt>
                <c:pt idx="147">
                  <c:v>995.47054097165778</c:v>
                </c:pt>
                <c:pt idx="148">
                  <c:v>997.35221470087345</c:v>
                </c:pt>
                <c:pt idx="149">
                  <c:v>999.12549218417655</c:v>
                </c:pt>
                <c:pt idx="157">
                  <c:v>0</c:v>
                </c:pt>
                <c:pt idx="158">
                  <c:v>0</c:v>
                </c:pt>
                <c:pt idx="159">
                  <c:v>0</c:v>
                </c:pt>
                <c:pt idx="160">
                  <c:v>976.29845834390221</c:v>
                </c:pt>
                <c:pt idx="161">
                  <c:v>981.45252309450336</c:v>
                </c:pt>
                <c:pt idx="162">
                  <c:v>984.94042687744991</c:v>
                </c:pt>
                <c:pt idx="163">
                  <c:v>987.74006101178998</c:v>
                </c:pt>
                <c:pt idx="164">
                  <c:v>990.14220215996579</c:v>
                </c:pt>
                <c:pt idx="165">
                  <c:v>992.27778755951613</c:v>
                </c:pt>
                <c:pt idx="166">
                  <c:v>994.21860986088245</c:v>
                </c:pt>
                <c:pt idx="167">
                  <c:v>996.00894064387012</c:v>
                </c:pt>
                <c:pt idx="168">
                  <c:v>997.67831323174266</c:v>
                </c:pt>
                <c:pt idx="169">
                  <c:v>999.24757351830033</c:v>
                </c:pt>
                <c:pt idx="177">
                  <c:v>0</c:v>
                </c:pt>
                <c:pt idx="178">
                  <c:v>0</c:v>
                </c:pt>
                <c:pt idx="179">
                  <c:v>0</c:v>
                </c:pt>
                <c:pt idx="180">
                  <c:v>978.71041972370028</c:v>
                </c:pt>
                <c:pt idx="181">
                  <c:v>983.40016310928172</c:v>
                </c:pt>
                <c:pt idx="182">
                  <c:v>986.55779303121335</c:v>
                </c:pt>
                <c:pt idx="183">
                  <c:v>989.08258521010475</c:v>
                </c:pt>
                <c:pt idx="184">
                  <c:v>991.24150926854725</c:v>
                </c:pt>
                <c:pt idx="185">
                  <c:v>993.15472635151707</c:v>
                </c:pt>
                <c:pt idx="186">
                  <c:v>994.88811609509548</c:v>
                </c:pt>
                <c:pt idx="187">
                  <c:v>996.48230909681149</c:v>
                </c:pt>
                <c:pt idx="188">
                  <c:v>997.96441670845581</c:v>
                </c:pt>
                <c:pt idx="189">
                  <c:v>999.35358185930988</c:v>
                </c:pt>
                <c:pt idx="197">
                  <c:v>0</c:v>
                </c:pt>
                <c:pt idx="198">
                  <c:v>0</c:v>
                </c:pt>
                <c:pt idx="199">
                  <c:v>0</c:v>
                </c:pt>
                <c:pt idx="200">
                  <c:v>980.83451361423954</c:v>
                </c:pt>
                <c:pt idx="201">
                  <c:v>985.11675569868066</c:v>
                </c:pt>
                <c:pt idx="202">
                  <c:v>987.9838966058162</c:v>
                </c:pt>
                <c:pt idx="203">
                  <c:v>990.26657907027413</c:v>
                </c:pt>
                <c:pt idx="204">
                  <c:v>992.21100779507447</c:v>
                </c:pt>
                <c:pt idx="205">
                  <c:v>993.92795213287229</c:v>
                </c:pt>
                <c:pt idx="206">
                  <c:v>995.47814253861952</c:v>
                </c:pt>
                <c:pt idx="207">
                  <c:v>996.89904195473639</c:v>
                </c:pt>
                <c:pt idx="208">
                  <c:v>998.21565694232868</c:v>
                </c:pt>
                <c:pt idx="209">
                  <c:v>999.44565239662165</c:v>
                </c:pt>
                <c:pt idx="217">
                  <c:v>0</c:v>
                </c:pt>
                <c:pt idx="218">
                  <c:v>0</c:v>
                </c:pt>
                <c:pt idx="219">
                  <c:v>0</c:v>
                </c:pt>
                <c:pt idx="220">
                  <c:v>982.71257504653227</c:v>
                </c:pt>
                <c:pt idx="221">
                  <c:v>986.63482388586863</c:v>
                </c:pt>
                <c:pt idx="222">
                  <c:v>989.24501570997359</c:v>
                </c:pt>
                <c:pt idx="223">
                  <c:v>991.3133750823614</c:v>
                </c:pt>
                <c:pt idx="224">
                  <c:v>993.0678440286548</c:v>
                </c:pt>
                <c:pt idx="225">
                  <c:v>994.61093814613423</c:v>
                </c:pt>
                <c:pt idx="226">
                  <c:v>995.99886633099254</c:v>
                </c:pt>
                <c:pt idx="227">
                  <c:v>997.2663125820178</c:v>
                </c:pt>
                <c:pt idx="228">
                  <c:v>998.43643899475398</c:v>
                </c:pt>
                <c:pt idx="229">
                  <c:v>999.52561691484891</c:v>
                </c:pt>
                <c:pt idx="237">
                  <c:v>0</c:v>
                </c:pt>
                <c:pt idx="238">
                  <c:v>0</c:v>
                </c:pt>
                <c:pt idx="239">
                  <c:v>0</c:v>
                </c:pt>
                <c:pt idx="240">
                  <c:v>984.37898592169506</c:v>
                </c:pt>
                <c:pt idx="241">
                  <c:v>987.98133499319681</c:v>
                </c:pt>
                <c:pt idx="242">
                  <c:v>990.36309271330708</c:v>
                </c:pt>
                <c:pt idx="243">
                  <c:v>992.24089794096233</c:v>
                </c:pt>
                <c:pt idx="244">
                  <c:v>993.82650993055427</c:v>
                </c:pt>
                <c:pt idx="245">
                  <c:v>995.215135757246</c:v>
                </c:pt>
                <c:pt idx="246">
                  <c:v>996.45898358574868</c:v>
                </c:pt>
                <c:pt idx="247">
                  <c:v>997.59028069590386</c:v>
                </c:pt>
                <c:pt idx="248">
                  <c:v>998.63056023409501</c:v>
                </c:pt>
                <c:pt idx="249">
                  <c:v>999.59505248035873</c:v>
                </c:pt>
                <c:pt idx="257">
                  <c:v>0</c:v>
                </c:pt>
                <c:pt idx="258">
                  <c:v>0</c:v>
                </c:pt>
                <c:pt idx="259">
                  <c:v>0</c:v>
                </c:pt>
                <c:pt idx="260">
                  <c:v>985.86226326232827</c:v>
                </c:pt>
                <c:pt idx="261">
                  <c:v>989.17883637374916</c:v>
                </c:pt>
                <c:pt idx="262">
                  <c:v>991.35658980824655</c:v>
                </c:pt>
                <c:pt idx="263">
                  <c:v>993.06431447379589</c:v>
                </c:pt>
                <c:pt idx="264">
                  <c:v>994.4993321639007</c:v>
                </c:pt>
                <c:pt idx="265">
                  <c:v>995.75033377974523</c:v>
                </c:pt>
                <c:pt idx="266">
                  <c:v>996.86596276687658</c:v>
                </c:pt>
                <c:pt idx="267">
                  <c:v>997.87625898768317</c:v>
                </c:pt>
                <c:pt idx="268">
                  <c:v>998.8013063792182</c:v>
                </c:pt>
                <c:pt idx="269">
                  <c:v>999.65532099159145</c:v>
                </c:pt>
                <c:pt idx="277">
                  <c:v>0</c:v>
                </c:pt>
                <c:pt idx="278">
                  <c:v>0</c:v>
                </c:pt>
                <c:pt idx="279">
                  <c:v>0</c:v>
                </c:pt>
                <c:pt idx="280">
                  <c:v>987.1862562958745</c:v>
                </c:pt>
                <c:pt idx="281">
                  <c:v>990.24632198388917</c:v>
                </c:pt>
                <c:pt idx="282">
                  <c:v>992.24114828476934</c:v>
                </c:pt>
                <c:pt idx="283">
                  <c:v>993.7965390318617</c:v>
                </c:pt>
                <c:pt idx="284">
                  <c:v>995.09685575170647</c:v>
                </c:pt>
                <c:pt idx="285">
                  <c:v>996.22494290498582</c:v>
                </c:pt>
                <c:pt idx="286">
                  <c:v>997.22624710880177</c:v>
                </c:pt>
                <c:pt idx="287">
                  <c:v>998.12884751396632</c:v>
                </c:pt>
                <c:pt idx="288">
                  <c:v>998.95152971539403</c:v>
                </c:pt>
                <c:pt idx="289">
                  <c:v>999.70760160302621</c:v>
                </c:pt>
                <c:pt idx="297">
                  <c:v>0</c:v>
                </c:pt>
                <c:pt idx="298">
                  <c:v>0</c:v>
                </c:pt>
                <c:pt idx="299">
                  <c:v>0</c:v>
                </c:pt>
                <c:pt idx="300">
                  <c:v>988.37106059491714</c:v>
                </c:pt>
                <c:pt idx="301">
                  <c:v>991.19990162269198</c:v>
                </c:pt>
                <c:pt idx="302">
                  <c:v>993.03010235035356</c:v>
                </c:pt>
                <c:pt idx="303">
                  <c:v>994.4486307308556</c:v>
                </c:pt>
                <c:pt idx="304">
                  <c:v>995.62814816002128</c:v>
                </c:pt>
                <c:pt idx="305">
                  <c:v>996.6462230562787</c:v>
                </c:pt>
                <c:pt idx="306">
                  <c:v>997.54541784556068</c:v>
                </c:pt>
                <c:pt idx="307">
                  <c:v>998.35204306797812</c:v>
                </c:pt>
                <c:pt idx="308">
                  <c:v>999.08371334135029</c:v>
                </c:pt>
                <c:pt idx="309">
                  <c:v>999.75291752525152</c:v>
                </c:pt>
                <c:pt idx="317">
                  <c:v>0</c:v>
                </c:pt>
                <c:pt idx="318">
                  <c:v>0</c:v>
                </c:pt>
                <c:pt idx="319">
                  <c:v>0</c:v>
                </c:pt>
                <c:pt idx="320">
                  <c:v>989.43372453492339</c:v>
                </c:pt>
                <c:pt idx="321">
                  <c:v>992.05332352814912</c:v>
                </c:pt>
                <c:pt idx="322">
                  <c:v>993.73488378735635</c:v>
                </c:pt>
                <c:pt idx="323">
                  <c:v>995.03010879454837</c:v>
                </c:pt>
                <c:pt idx="324">
                  <c:v>996.10104259639752</c:v>
                </c:pt>
                <c:pt idx="325">
                  <c:v>997.02046676590101</c:v>
                </c:pt>
                <c:pt idx="326">
                  <c:v>997.82832697592892</c:v>
                </c:pt>
                <c:pt idx="327">
                  <c:v>998.5493289238575</c:v>
                </c:pt>
                <c:pt idx="328">
                  <c:v>999.20002435596405</c:v>
                </c:pt>
                <c:pt idx="329">
                  <c:v>999.79215833942908</c:v>
                </c:pt>
                <c:pt idx="337">
                  <c:v>0</c:v>
                </c:pt>
                <c:pt idx="338">
                  <c:v>0</c:v>
                </c:pt>
                <c:pt idx="339">
                  <c:v>0</c:v>
                </c:pt>
                <c:pt idx="340">
                  <c:v>990.38880125966978</c:v>
                </c:pt>
                <c:pt idx="341">
                  <c:v>992.81838664198767</c:v>
                </c:pt>
                <c:pt idx="342">
                  <c:v>994.36534372492883</c:v>
                </c:pt>
                <c:pt idx="343">
                  <c:v>995.54920518992526</c:v>
                </c:pt>
                <c:pt idx="344">
                  <c:v>996.52233438438077</c:v>
                </c:pt>
                <c:pt idx="345">
                  <c:v>997.35314832226129</c:v>
                </c:pt>
                <c:pt idx="346">
                  <c:v>998.07920611390216</c:v>
                </c:pt>
                <c:pt idx="347">
                  <c:v>998.72374903505431</c:v>
                </c:pt>
                <c:pt idx="348">
                  <c:v>999.30235820272367</c:v>
                </c:pt>
                <c:pt idx="349">
                  <c:v>999.82609869921782</c:v>
                </c:pt>
                <c:pt idx="357">
                  <c:v>0</c:v>
                </c:pt>
                <c:pt idx="358">
                  <c:v>0</c:v>
                </c:pt>
                <c:pt idx="359">
                  <c:v>0</c:v>
                </c:pt>
                <c:pt idx="360">
                  <c:v>991.24878430541776</c:v>
                </c:pt>
                <c:pt idx="361">
                  <c:v>993.50526891321147</c:v>
                </c:pt>
                <c:pt idx="362">
                  <c:v>994.93001079749092</c:v>
                </c:pt>
                <c:pt idx="363">
                  <c:v>996.01306875424552</c:v>
                </c:pt>
                <c:pt idx="364">
                  <c:v>996.89794075813131</c:v>
                </c:pt>
                <c:pt idx="365">
                  <c:v>997.64904602192155</c:v>
                </c:pt>
                <c:pt idx="366">
                  <c:v>998.30175639338211</c:v>
                </c:pt>
                <c:pt idx="367">
                  <c:v>998.87796980838789</c:v>
                </c:pt>
                <c:pt idx="368">
                  <c:v>999.39237588210301</c:v>
                </c:pt>
                <c:pt idx="369">
                  <c:v>999.85541409741177</c:v>
                </c:pt>
                <c:pt idx="377">
                  <c:v>0</c:v>
                </c:pt>
                <c:pt idx="378">
                  <c:v>0</c:v>
                </c:pt>
                <c:pt idx="379">
                  <c:v>0</c:v>
                </c:pt>
                <c:pt idx="380">
                  <c:v>992.02445462067169</c:v>
                </c:pt>
                <c:pt idx="381">
                  <c:v>994.12279103279502</c:v>
                </c:pt>
                <c:pt idx="382">
                  <c:v>995.43629999268751</c:v>
                </c:pt>
                <c:pt idx="383">
                  <c:v>996.42793144092047</c:v>
                </c:pt>
                <c:pt idx="384">
                  <c:v>997.23303188023465</c:v>
                </c:pt>
                <c:pt idx="385">
                  <c:v>997.91234310306993</c:v>
                </c:pt>
                <c:pt idx="386">
                  <c:v>998.49922323489477</c:v>
                </c:pt>
                <c:pt idx="387">
                  <c:v>999.01433186522058</c:v>
                </c:pt>
                <c:pt idx="388">
                  <c:v>999.47153536366488</c:v>
                </c:pt>
                <c:pt idx="389">
                  <c:v>999.88069422822412</c:v>
                </c:pt>
                <c:pt idx="397">
                  <c:v>0</c:v>
                </c:pt>
                <c:pt idx="398">
                  <c:v>0</c:v>
                </c:pt>
                <c:pt idx="399">
                  <c:v>0</c:v>
                </c:pt>
                <c:pt idx="400">
                  <c:v>992.72515939936466</c:v>
                </c:pt>
                <c:pt idx="401">
                  <c:v>994.67863002686795</c:v>
                </c:pt>
                <c:pt idx="402">
                  <c:v>995.89068292066759</c:v>
                </c:pt>
                <c:pt idx="403">
                  <c:v>996.79924472012772</c:v>
                </c:pt>
                <c:pt idx="404">
                  <c:v>997.53213902782966</c:v>
                </c:pt>
                <c:pt idx="405">
                  <c:v>998.1467116411992</c:v>
                </c:pt>
                <c:pt idx="406">
                  <c:v>998.6744589197632</c:v>
                </c:pt>
                <c:pt idx="407">
                  <c:v>999.13489366993406</c:v>
                </c:pt>
                <c:pt idx="408">
                  <c:v>999.54111824483334</c:v>
                </c:pt>
                <c:pt idx="409">
                  <c:v>999.90245436547298</c:v>
                </c:pt>
                <c:pt idx="417">
                  <c:v>0</c:v>
                </c:pt>
                <c:pt idx="418">
                  <c:v>0</c:v>
                </c:pt>
                <c:pt idx="419">
                  <c:v>0</c:v>
                </c:pt>
                <c:pt idx="420">
                  <c:v>993.35903793136765</c:v>
                </c:pt>
                <c:pt idx="421">
                  <c:v>995.17949355762664</c:v>
                </c:pt>
                <c:pt idx="422">
                  <c:v>996.29882763935927</c:v>
                </c:pt>
                <c:pt idx="423">
                  <c:v>997.1317922700706</c:v>
                </c:pt>
                <c:pt idx="424">
                  <c:v>997.79924451889894</c:v>
                </c:pt>
                <c:pt idx="425">
                  <c:v>998.35538272259225</c:v>
                </c:pt>
                <c:pt idx="426">
                  <c:v>998.82997527006944</c:v>
                </c:pt>
                <c:pt idx="427">
                  <c:v>999.24146850437535</c:v>
                </c:pt>
                <c:pt idx="428">
                  <c:v>999.60225248659799</c:v>
                </c:pt>
                <c:pt idx="429">
                  <c:v>999.92114509235319</c:v>
                </c:pt>
                <c:pt idx="437">
                  <c:v>0</c:v>
                </c:pt>
                <c:pt idx="438">
                  <c:v>0</c:v>
                </c:pt>
                <c:pt idx="439">
                  <c:v>0</c:v>
                </c:pt>
                <c:pt idx="440">
                  <c:v>993.93320591273357</c:v>
                </c:pt>
                <c:pt idx="441">
                  <c:v>995.63126317217962</c:v>
                </c:pt>
                <c:pt idx="442">
                  <c:v>996.66571426018425</c:v>
                </c:pt>
                <c:pt idx="443">
                  <c:v>997.42978368632237</c:v>
                </c:pt>
                <c:pt idx="444">
                  <c:v>998.03785692501981</c:v>
                </c:pt>
                <c:pt idx="445">
                  <c:v>998.54120548523883</c:v>
                </c:pt>
                <c:pt idx="446">
                  <c:v>998.96798824254313</c:v>
                </c:pt>
                <c:pt idx="447">
                  <c:v>999.33565596067501</c:v>
                </c:pt>
                <c:pt idx="448">
                  <c:v>999.65593188993478</c:v>
                </c:pt>
                <c:pt idx="449">
                  <c:v>999.93716065318381</c:v>
                </c:pt>
                <c:pt idx="457">
                  <c:v>0</c:v>
                </c:pt>
                <c:pt idx="458">
                  <c:v>0</c:v>
                </c:pt>
                <c:pt idx="459">
                  <c:v>0</c:v>
                </c:pt>
                <c:pt idx="460">
                  <c:v>994.45390691291016</c:v>
                </c:pt>
                <c:pt idx="461">
                  <c:v>996.03911281627779</c:v>
                </c:pt>
                <c:pt idx="462">
                  <c:v>996.99573113934969</c:v>
                </c:pt>
                <c:pt idx="463">
                  <c:v>997.69693288255519</c:v>
                </c:pt>
                <c:pt idx="464">
                  <c:v>998.25107434388246</c:v>
                </c:pt>
                <c:pt idx="465">
                  <c:v>998.70669706584431</c:v>
                </c:pt>
                <c:pt idx="466">
                  <c:v>999.09045586989771</c:v>
                </c:pt>
                <c:pt idx="467">
                  <c:v>999.41886888912211</c:v>
                </c:pt>
                <c:pt idx="468">
                  <c:v>999.70303284785859</c:v>
                </c:pt>
                <c:pt idx="469">
                  <c:v>999.95084614663608</c:v>
                </c:pt>
                <c:pt idx="477">
                  <c:v>0</c:v>
                </c:pt>
                <c:pt idx="478">
                  <c:v>0</c:v>
                </c:pt>
                <c:pt idx="479">
                  <c:v>0</c:v>
                </c:pt>
                <c:pt idx="480">
                  <c:v>994.92663767065437</c:v>
                </c:pt>
                <c:pt idx="481">
                  <c:v>996.40760749766514</c:v>
                </c:pt>
                <c:pt idx="482">
                  <c:v>997.2927553948083</c:v>
                </c:pt>
                <c:pt idx="483">
                  <c:v>997.93652405944363</c:v>
                </c:pt>
                <c:pt idx="484">
                  <c:v>998.44163791698566</c:v>
                </c:pt>
                <c:pt idx="485">
                  <c:v>998.85408506976864</c:v>
                </c:pt>
                <c:pt idx="486">
                  <c:v>999.1991106944497</c:v>
                </c:pt>
                <c:pt idx="487">
                  <c:v>999.49235655492612</c:v>
                </c:pt>
                <c:pt idx="488">
                  <c:v>999.74432880717927</c:v>
                </c:pt>
                <c:pt idx="489">
                  <c:v>999.962503739927</c:v>
                </c:pt>
                <c:pt idx="497">
                  <c:v>0</c:v>
                </c:pt>
                <c:pt idx="498">
                  <c:v>0</c:v>
                </c:pt>
                <c:pt idx="499">
                  <c:v>0</c:v>
                </c:pt>
                <c:pt idx="500">
                  <c:v>995.35625238095497</c:v>
                </c:pt>
                <c:pt idx="501">
                  <c:v>996.74078590711247</c:v>
                </c:pt>
                <c:pt idx="502">
                  <c:v>997.56022068274922</c:v>
                </c:pt>
                <c:pt idx="503">
                  <c:v>998.15146751171085</c:v>
                </c:pt>
                <c:pt idx="504">
                  <c:v>998.61197732714595</c:v>
                </c:pt>
                <c:pt idx="505">
                  <c:v>998.98534385526921</c:v>
                </c:pt>
                <c:pt idx="506">
                  <c:v>999.29548761463047</c:v>
                </c:pt>
                <c:pt idx="507">
                  <c:v>999.55722461466803</c:v>
                </c:pt>
                <c:pt idx="508">
                  <c:v>999.78050279473416</c:v>
                </c:pt>
                <c:pt idx="509">
                  <c:v>999.97239805176071</c:v>
                </c:pt>
                <c:pt idx="517">
                  <c:v>0</c:v>
                </c:pt>
                <c:pt idx="518">
                  <c:v>0</c:v>
                </c:pt>
                <c:pt idx="519">
                  <c:v>0</c:v>
                </c:pt>
                <c:pt idx="520">
                  <c:v>995.74704999970947</c:v>
                </c:pt>
                <c:pt idx="521">
                  <c:v>997.04222998854459</c:v>
                </c:pt>
                <c:pt idx="522">
                  <c:v>997.80117455190793</c:v>
                </c:pt>
                <c:pt idx="523">
                  <c:v>998.34434707706612</c:v>
                </c:pt>
                <c:pt idx="524">
                  <c:v>998.76424966212141</c:v>
                </c:pt>
                <c:pt idx="525">
                  <c:v>999.10222567043843</c:v>
                </c:pt>
                <c:pt idx="526">
                  <c:v>999.38094788964554</c:v>
                </c:pt>
                <c:pt idx="527">
                  <c:v>999.61445241066951</c:v>
                </c:pt>
                <c:pt idx="528">
                  <c:v>999.81215829988219</c:v>
                </c:pt>
                <c:pt idx="529">
                  <c:v>999.98076082644718</c:v>
                </c:pt>
                <c:pt idx="537">
                  <c:v>0</c:v>
                </c:pt>
                <c:pt idx="538">
                  <c:v>0</c:v>
                </c:pt>
                <c:pt idx="539">
                  <c:v>0</c:v>
                </c:pt>
                <c:pt idx="540">
                  <c:v>996.10284773095191</c:v>
                </c:pt>
                <c:pt idx="541">
                  <c:v>997.31512382514961</c:v>
                </c:pt>
                <c:pt idx="542">
                  <c:v>998.01832722023516</c:v>
                </c:pt>
                <c:pt idx="543">
                  <c:v>998.51746066994372</c:v>
                </c:pt>
                <c:pt idx="544">
                  <c:v>998.90037275945645</c:v>
                </c:pt>
                <c:pt idx="545">
                  <c:v>999.2062874830342</c:v>
                </c:pt>
                <c:pt idx="546">
                  <c:v>999.45669990930298</c:v>
                </c:pt>
                <c:pt idx="547">
                  <c:v>999.66490799210317</c:v>
                </c:pt>
                <c:pt idx="548">
                  <c:v>999.83982875471531</c:v>
                </c:pt>
                <c:pt idx="549">
                  <c:v>999.98779500122021</c:v>
                </c:pt>
                <c:pt idx="557">
                  <c:v>0</c:v>
                </c:pt>
                <c:pt idx="558">
                  <c:v>0</c:v>
                </c:pt>
                <c:pt idx="559">
                  <c:v>0</c:v>
                </c:pt>
                <c:pt idx="560">
                  <c:v>996.42704320196299</c:v>
                </c:pt>
                <c:pt idx="561">
                  <c:v>997.56230372697223</c:v>
                </c:pt>
                <c:pt idx="562">
                  <c:v>998.21409325118464</c:v>
                </c:pt>
                <c:pt idx="563">
                  <c:v>998.67285506166468</c:v>
                </c:pt>
                <c:pt idx="564">
                  <c:v>999.02205393516033</c:v>
                </c:pt>
                <c:pt idx="565">
                  <c:v>999.29891418732598</c:v>
                </c:pt>
                <c:pt idx="566">
                  <c:v>999.52381722648454</c:v>
                </c:pt>
                <c:pt idx="567">
                  <c:v>999.70936120042677</c:v>
                </c:pt>
                <c:pt idx="568">
                  <c:v>999.8639858129917</c:v>
                </c:pt>
                <c:pt idx="569">
                  <c:v>999.99367825225818</c:v>
                </c:pt>
                <c:pt idx="577">
                  <c:v>0</c:v>
                </c:pt>
                <c:pt idx="578">
                  <c:v>0</c:v>
                </c:pt>
                <c:pt idx="579">
                  <c:v>0</c:v>
                </c:pt>
                <c:pt idx="580">
                  <c:v>996.72266732282492</c:v>
                </c:pt>
                <c:pt idx="581">
                  <c:v>997.7863010316712</c:v>
                </c:pt>
                <c:pt idx="582">
                  <c:v>998.39062732009882</c:v>
                </c:pt>
                <c:pt idx="583">
                  <c:v>998.81235584782996</c:v>
                </c:pt>
                <c:pt idx="584">
                  <c:v>999.13081483108078</c:v>
                </c:pt>
                <c:pt idx="585">
                  <c:v>999.38133874813116</c:v>
                </c:pt>
                <c:pt idx="586">
                  <c:v>999.58325426228146</c:v>
                </c:pt>
                <c:pt idx="587">
                  <c:v>999.74849509936405</c:v>
                </c:pt>
                <c:pt idx="588">
                  <c:v>999.88504659598209</c:v>
                </c:pt>
                <c:pt idx="589">
                  <c:v>999.99856609140068</c:v>
                </c:pt>
                <c:pt idx="597">
                  <c:v>0</c:v>
                </c:pt>
                <c:pt idx="598">
                  <c:v>0</c:v>
                </c:pt>
                <c:pt idx="599">
                  <c:v>0</c:v>
                </c:pt>
                <c:pt idx="600">
                  <c:v>996.99242943185845</c:v>
                </c:pt>
                <c:pt idx="601">
                  <c:v>997.98937883794122</c:v>
                </c:pt>
                <c:pt idx="602">
                  <c:v>998.54985503578541</c:v>
                </c:pt>
                <c:pt idx="603">
                  <c:v>998.93759336940593</c:v>
                </c:pt>
                <c:pt idx="604">
                  <c:v>999.22801298277636</c:v>
                </c:pt>
                <c:pt idx="605">
                  <c:v>999.45465974340709</c:v>
                </c:pt>
                <c:pt idx="606">
                  <c:v>999.63586002358443</c:v>
                </c:pt>
                <c:pt idx="607">
                  <c:v>999.78291598336489</c:v>
                </c:pt>
                <c:pt idx="608">
                  <c:v>999.90338004672799</c:v>
                </c:pt>
                <c:pt idx="609">
                  <c:v>1000.0025945744868</c:v>
                </c:pt>
                <c:pt idx="617">
                  <c:v>0</c:v>
                </c:pt>
                <c:pt idx="618">
                  <c:v>0</c:v>
                </c:pt>
                <c:pt idx="619">
                  <c:v>0</c:v>
                </c:pt>
                <c:pt idx="620">
                  <c:v>997.23875601915131</c:v>
                </c:pt>
                <c:pt idx="621">
                  <c:v>998.17356366098909</c:v>
                </c:pt>
                <c:pt idx="622">
                  <c:v>998.69349960403576</c:v>
                </c:pt>
                <c:pt idx="623">
                  <c:v>999.05002521528365</c:v>
                </c:pt>
                <c:pt idx="624">
                  <c:v>999.31486060331031</c:v>
                </c:pt>
                <c:pt idx="625">
                  <c:v>999.5198566873305</c:v>
                </c:pt>
                <c:pt idx="626">
                  <c:v>999.68239011626099</c:v>
                </c:pt>
                <c:pt idx="627">
                  <c:v>999.8131621608037</c:v>
                </c:pt>
                <c:pt idx="628">
                  <c:v>999.91931251232177</c:v>
                </c:pt>
                <c:pt idx="629">
                  <c:v>1000.0058826730841</c:v>
                </c:pt>
                <c:pt idx="637">
                  <c:v>0</c:v>
                </c:pt>
                <c:pt idx="638">
                  <c:v>0</c:v>
                </c:pt>
                <c:pt idx="639">
                  <c:v>0</c:v>
                </c:pt>
                <c:pt idx="640">
                  <c:v>997.46382407696728</c:v>
                </c:pt>
                <c:pt idx="641">
                  <c:v>998.34067281737168</c:v>
                </c:pt>
                <c:pt idx="642">
                  <c:v>998.82310497803576</c:v>
                </c:pt>
                <c:pt idx="643">
                  <c:v>999.15095582336539</c:v>
                </c:pt>
                <c:pt idx="644">
                  <c:v>999.39244099306541</c:v>
                </c:pt>
                <c:pt idx="645">
                  <c:v>999.57780345176968</c:v>
                </c:pt>
                <c:pt idx="646">
                  <c:v>999.72351729097261</c:v>
                </c:pt>
                <c:pt idx="647">
                  <c:v>999.83971167739821</c:v>
                </c:pt>
                <c:pt idx="648">
                  <c:v>999.93313265576683</c:v>
                </c:pt>
                <c:pt idx="649">
                  <c:v>1000.0085343537838</c:v>
                </c:pt>
                <c:pt idx="657">
                  <c:v>0</c:v>
                </c:pt>
                <c:pt idx="658">
                  <c:v>0</c:v>
                </c:pt>
                <c:pt idx="659">
                  <c:v>0</c:v>
                </c:pt>
                <c:pt idx="660">
                  <c:v>997.66958993293474</c:v>
                </c:pt>
                <c:pt idx="661">
                  <c:v>998.49233820137101</c:v>
                </c:pt>
                <c:pt idx="662">
                  <c:v>998.94005602703044</c:v>
                </c:pt>
                <c:pt idx="663">
                  <c:v>999.2415536081628</c:v>
                </c:pt>
                <c:pt idx="664">
                  <c:v>999.46172291666608</c:v>
                </c:pt>
                <c:pt idx="665">
                  <c:v>999.62928005202309</c:v>
                </c:pt>
                <c:pt idx="666">
                  <c:v>999.75984072112783</c:v>
                </c:pt>
                <c:pt idx="667">
                  <c:v>999.86298911999052</c:v>
                </c:pt>
                <c:pt idx="668">
                  <c:v>999.94509578402631</c:v>
                </c:pt>
                <c:pt idx="669">
                  <c:v>1000.0106404028877</c:v>
                </c:pt>
                <c:pt idx="677">
                  <c:v>0</c:v>
                </c:pt>
                <c:pt idx="678">
                  <c:v>0</c:v>
                </c:pt>
                <c:pt idx="679">
                  <c:v>0</c:v>
                </c:pt>
                <c:pt idx="680">
                  <c:v>997.85781426813753</c:v>
                </c:pt>
                <c:pt idx="681">
                  <c:v>998.63002699878143</c:v>
                </c:pt>
                <c:pt idx="682">
                  <c:v>999.04559616327845</c:v>
                </c:pt>
                <c:pt idx="683">
                  <c:v>999.32286597088205</c:v>
                </c:pt>
                <c:pt idx="684">
                  <c:v>999.52357323218109</c:v>
                </c:pt>
                <c:pt idx="685">
                  <c:v>999.67498302025115</c:v>
                </c:pt>
                <c:pt idx="686">
                  <c:v>999.79189418160604</c:v>
                </c:pt>
                <c:pt idx="687">
                  <c:v>999.88337161994377</c:v>
                </c:pt>
                <c:pt idx="688">
                  <c:v>999.95542766642598</c:v>
                </c:pt>
                <c:pt idx="689">
                  <c:v>1000.0122800290037</c:v>
                </c:pt>
                <c:pt idx="697">
                  <c:v>0</c:v>
                </c:pt>
                <c:pt idx="698">
                  <c:v>0</c:v>
                </c:pt>
                <c:pt idx="699">
                  <c:v>0</c:v>
                </c:pt>
                <c:pt idx="700">
                  <c:v>998.0300838990288</c:v>
                </c:pt>
                <c:pt idx="701">
                  <c:v>998.75505979040577</c:v>
                </c:pt>
                <c:pt idx="702">
                  <c:v>999.14084279344365</c:v>
                </c:pt>
                <c:pt idx="703">
                  <c:v>999.39583248958456</c:v>
                </c:pt>
                <c:pt idx="704">
                  <c:v>999.57876801206157</c:v>
                </c:pt>
                <c:pt idx="705">
                  <c:v>999.71553455528101</c:v>
                </c:pt>
                <c:pt idx="706">
                  <c:v>999.82015327144325</c:v>
                </c:pt>
                <c:pt idx="707">
                  <c:v>999.90119415801348</c:v>
                </c:pt>
                <c:pt idx="708">
                  <c:v>999.96432790713368</c:v>
                </c:pt>
                <c:pt idx="709">
                  <c:v>1000.0135222715548</c:v>
                </c:pt>
                <c:pt idx="717">
                  <c:v>0</c:v>
                </c:pt>
                <c:pt idx="718">
                  <c:v>0</c:v>
                </c:pt>
                <c:pt idx="719">
                  <c:v>0</c:v>
                </c:pt>
                <c:pt idx="720">
                  <c:v>998.18783080279593</c:v>
                </c:pt>
                <c:pt idx="721">
                  <c:v>998.86862642169547</c:v>
                </c:pt>
                <c:pt idx="722">
                  <c:v>999.22680090048391</c:v>
                </c:pt>
                <c:pt idx="723">
                  <c:v>999.46129653924663</c:v>
                </c:pt>
                <c:pt idx="724">
                  <c:v>999.62800235786563</c:v>
                </c:pt>
                <c:pt idx="725">
                  <c:v>999.75149060872252</c:v>
                </c:pt>
                <c:pt idx="726">
                  <c:v>999.84504180258944</c:v>
                </c:pt>
                <c:pt idx="727">
                  <c:v>999.91675425805943</c:v>
                </c:pt>
                <c:pt idx="728">
                  <c:v>999.97197292667317</c:v>
                </c:pt>
                <c:pt idx="729">
                  <c:v>1000.014427239448</c:v>
                </c:pt>
                <c:pt idx="737">
                  <c:v>0</c:v>
                </c:pt>
                <c:pt idx="738">
                  <c:v>0</c:v>
                </c:pt>
                <c:pt idx="739">
                  <c:v>0</c:v>
                </c:pt>
                <c:pt idx="740">
                  <c:v>998.33234878533096</c:v>
                </c:pt>
                <c:pt idx="741">
                  <c:v>998.97179995330441</c:v>
                </c:pt>
                <c:pt idx="742">
                  <c:v>999.30437501305698</c:v>
                </c:pt>
                <c:pt idx="743">
                  <c:v>999.52001555243851</c:v>
                </c:pt>
                <c:pt idx="744">
                  <c:v>999.67189907994828</c:v>
                </c:pt>
                <c:pt idx="745">
                  <c:v>999.78334804365841</c:v>
                </c:pt>
                <c:pt idx="746">
                  <c:v>999.86693745926505</c:v>
                </c:pt>
                <c:pt idx="747">
                  <c:v>999.93031614480878</c:v>
                </c:pt>
                <c:pt idx="748">
                  <c:v>999.97851860003186</c:v>
                </c:pt>
                <c:pt idx="749">
                  <c:v>1000.0150472008729</c:v>
                </c:pt>
                <c:pt idx="757">
                  <c:v>0</c:v>
                </c:pt>
                <c:pt idx="758">
                  <c:v>0</c:v>
                </c:pt>
                <c:pt idx="759">
                  <c:v>0</c:v>
                </c:pt>
                <c:pt idx="760">
                  <c:v>998.46480812553636</c:v>
                </c:pt>
                <c:pt idx="761">
                  <c:v>999.06554895688635</c:v>
                </c:pt>
                <c:pt idx="762">
                  <c:v>999.37437977914578</c:v>
                </c:pt>
                <c:pt idx="763">
                  <c:v>999.57267009907025</c:v>
                </c:pt>
                <c:pt idx="764">
                  <c:v>999.71101638777498</c:v>
                </c:pt>
                <c:pt idx="765">
                  <c:v>999.81155098236729</c:v>
                </c:pt>
                <c:pt idx="766">
                  <c:v>999.88617681775418</c:v>
                </c:pt>
                <c:pt idx="767">
                  <c:v>999.94211443060851</c:v>
                </c:pt>
                <c:pt idx="768">
                  <c:v>999.98410259260345</c:v>
                </c:pt>
                <c:pt idx="769">
                  <c:v>1000.0154275424952</c:v>
                </c:pt>
                <c:pt idx="777">
                  <c:v>0</c:v>
                </c:pt>
                <c:pt idx="778">
                  <c:v>0</c:v>
                </c:pt>
                <c:pt idx="779">
                  <c:v>0</c:v>
                </c:pt>
                <c:pt idx="780">
                  <c:v>998.58626847617711</c:v>
                </c:pt>
                <c:pt idx="781">
                  <c:v>999.15074837908264</c:v>
                </c:pt>
                <c:pt idx="782">
                  <c:v>999.43754932751062</c:v>
                </c:pt>
                <c:pt idx="783">
                  <c:v>999.61987193702078</c:v>
                </c:pt>
                <c:pt idx="784">
                  <c:v>999.74585471532703</c:v>
                </c:pt>
                <c:pt idx="785">
                  <c:v>999.83649644309799</c:v>
                </c:pt>
                <c:pt idx="786">
                  <c:v>999.90305980414621</c:v>
                </c:pt>
                <c:pt idx="787">
                  <c:v>999.95235738750625</c:v>
                </c:pt>
                <c:pt idx="788">
                  <c:v>999.98884642989367</c:v>
                </c:pt>
                <c:pt idx="789">
                  <c:v>1000.0156076139154</c:v>
                </c:pt>
                <c:pt idx="797">
                  <c:v>0</c:v>
                </c:pt>
                <c:pt idx="798">
                  <c:v>0</c:v>
                </c:pt>
                <c:pt idx="799">
                  <c:v>0</c:v>
                </c:pt>
                <c:pt idx="800">
                  <c:v>998.69769025743801</c:v>
                </c:pt>
                <c:pt idx="801">
                  <c:v>999.22818916243784</c:v>
                </c:pt>
                <c:pt idx="802">
                  <c:v>999.49454557294644</c:v>
                </c:pt>
                <c:pt idx="803">
                  <c:v>999.66217116320365</c:v>
                </c:pt>
                <c:pt idx="804">
                  <c:v>999.77686278827719</c:v>
                </c:pt>
                <c:pt idx="805">
                  <c:v>999.85853935198804</c:v>
                </c:pt>
                <c:pt idx="806">
                  <c:v>999.91785365704322</c:v>
                </c:pt>
                <c:pt idx="807">
                  <c:v>999.9612298535427</c:v>
                </c:pt>
                <c:pt idx="808">
                  <c:v>999.9928573322868</c:v>
                </c:pt>
                <c:pt idx="809">
                  <c:v>1000.015621471249</c:v>
                </c:pt>
                <c:pt idx="817">
                  <c:v>0</c:v>
                </c:pt>
                <c:pt idx="818">
                  <c:v>0</c:v>
                </c:pt>
                <c:pt idx="819">
                  <c:v>0</c:v>
                </c:pt>
                <c:pt idx="820">
                  <c:v>998.79994474311241</c:v>
                </c:pt>
                <c:pt idx="821">
                  <c:v>999.29858678370545</c:v>
                </c:pt>
                <c:pt idx="822">
                  <c:v>999.54596559859374</c:v>
                </c:pt>
                <c:pt idx="823">
                  <c:v>999.70006257617251</c:v>
                </c:pt>
                <c:pt idx="824">
                  <c:v>999.80444302481772</c:v>
                </c:pt>
                <c:pt idx="825">
                  <c:v>999.87799700462847</c:v>
                </c:pt>
                <c:pt idx="826">
                  <c:v>999.93079645349621</c:v>
                </c:pt>
                <c:pt idx="827">
                  <c:v>999.96889581595019</c:v>
                </c:pt>
                <c:pt idx="828">
                  <c:v>999.99622984227381</c:v>
                </c:pt>
                <c:pt idx="829">
                  <c:v>1000.0154985319532</c:v>
                </c:pt>
                <c:pt idx="837">
                  <c:v>0</c:v>
                </c:pt>
                <c:pt idx="838">
                  <c:v>0</c:v>
                </c:pt>
                <c:pt idx="839">
                  <c:v>0</c:v>
                </c:pt>
                <c:pt idx="840">
                  <c:v>998.89382300932095</c:v>
                </c:pt>
                <c:pt idx="841">
                  <c:v>999.36258884650749</c:v>
                </c:pt>
                <c:pt idx="842">
                  <c:v>999.59234822942494</c:v>
                </c:pt>
                <c:pt idx="843">
                  <c:v>999.73399134582291</c:v>
                </c:pt>
                <c:pt idx="844">
                  <c:v>999.8289563495091</c:v>
                </c:pt>
                <c:pt idx="845">
                  <c:v>999.89515304185863</c:v>
                </c:pt>
                <c:pt idx="846">
                  <c:v>999.94210024884921</c:v>
                </c:pt>
                <c:pt idx="847">
                  <c:v>999.97550070850718</c:v>
                </c:pt>
                <c:pt idx="848">
                  <c:v>999.99904726813497</c:v>
                </c:pt>
                <c:pt idx="849">
                  <c:v>1000.0152641514848</c:v>
                </c:pt>
                <c:pt idx="857">
                  <c:v>0</c:v>
                </c:pt>
                <c:pt idx="858">
                  <c:v>0</c:v>
                </c:pt>
                <c:pt idx="859">
                  <c:v>0</c:v>
                </c:pt>
                <c:pt idx="860">
                  <c:v>998.98004389051516</c:v>
                </c:pt>
                <c:pt idx="861">
                  <c:v>999.42078184553156</c:v>
                </c:pt>
                <c:pt idx="862">
                  <c:v>999.63417989498248</c:v>
                </c:pt>
                <c:pt idx="863">
                  <c:v>999.76435807263579</c:v>
                </c:pt>
                <c:pt idx="864">
                  <c:v>999.85072648886569</c:v>
                </c:pt>
                <c:pt idx="865">
                  <c:v>999.91026099595581</c:v>
                </c:pt>
                <c:pt idx="866">
                  <c:v>999.95195387475871</c:v>
                </c:pt>
                <c:pt idx="867">
                  <c:v>999.98117345571575</c:v>
                </c:pt>
                <c:pt idx="868">
                  <c:v>1000.0013829651407</c:v>
                </c:pt>
                <c:pt idx="869">
                  <c:v>1000.014940131103</c:v>
                </c:pt>
                <c:pt idx="877">
                  <c:v>0</c:v>
                </c:pt>
                <c:pt idx="878">
                  <c:v>0</c:v>
                </c:pt>
                <c:pt idx="879">
                  <c:v>0</c:v>
                </c:pt>
                <c:pt idx="880">
                  <c:v>999.05926106678214</c:v>
                </c:pt>
                <c:pt idx="881">
                  <c:v>999.47369720310473</c:v>
                </c:pt>
                <c:pt idx="882">
                  <c:v>999.67189986606866</c:v>
                </c:pt>
                <c:pt idx="883">
                  <c:v>999.79152330794921</c:v>
                </c:pt>
                <c:pt idx="884">
                  <c:v>999.87004380852352</c:v>
                </c:pt>
                <c:pt idx="885">
                  <c:v>999.92354745628938</c:v>
                </c:pt>
                <c:pt idx="886">
                  <c:v>999.96052543417136</c:v>
                </c:pt>
                <c:pt idx="887">
                  <c:v>999.98602829246579</c:v>
                </c:pt>
                <c:pt idx="888">
                  <c:v>1000.0033014728172</c:v>
                </c:pt>
                <c:pt idx="889">
                  <c:v>1000.014545164959</c:v>
                </c:pt>
              </c:numCache>
            </c:numRef>
          </c:val>
          <c:extLst xmlns:c16r2="http://schemas.microsoft.com/office/drawing/2015/06/chart">
            <c:ext xmlns:c16="http://schemas.microsoft.com/office/drawing/2014/chart" uri="{C3380CC4-5D6E-409C-BE32-E72D297353CC}">
              <c16:uniqueId val="{00000000-7921-4361-B82C-D0EFE16FFD29}"/>
            </c:ext>
          </c:extLst>
        </c:ser>
        <c:axId val="123850752"/>
        <c:axId val="123852288"/>
      </c:barChart>
      <c:catAx>
        <c:axId val="123850752"/>
        <c:scaling>
          <c:orientation val="minMax"/>
        </c:scaling>
        <c:axPos val="b"/>
        <c:tickLblPos val="nextTo"/>
        <c:crossAx val="123852288"/>
        <c:crosses val="autoZero"/>
        <c:auto val="1"/>
        <c:lblAlgn val="ctr"/>
        <c:lblOffset val="100"/>
      </c:catAx>
      <c:valAx>
        <c:axId val="123852288"/>
        <c:scaling>
          <c:orientation val="minMax"/>
        </c:scaling>
        <c:axPos val="l"/>
        <c:majorGridlines/>
        <c:numFmt formatCode="General" sourceLinked="1"/>
        <c:tickLblPos val="nextTo"/>
        <c:crossAx val="12385075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val>
            <c:numRef>
              <c:f>'10 těles'!$CC$6:$CC$14</c:f>
              <c:numCache>
                <c:formatCode>General</c:formatCode>
                <c:ptCount val="9"/>
                <c:pt idx="0">
                  <c:v>1</c:v>
                </c:pt>
                <c:pt idx="1">
                  <c:v>2</c:v>
                </c:pt>
                <c:pt idx="2">
                  <c:v>3</c:v>
                </c:pt>
                <c:pt idx="3">
                  <c:v>4</c:v>
                </c:pt>
                <c:pt idx="4">
                  <c:v>5</c:v>
                </c:pt>
                <c:pt idx="5">
                  <c:v>6</c:v>
                </c:pt>
                <c:pt idx="6">
                  <c:v>7</c:v>
                </c:pt>
                <c:pt idx="7">
                  <c:v>8</c:v>
                </c:pt>
                <c:pt idx="8">
                  <c:v>9</c:v>
                </c:pt>
              </c:numCache>
            </c:numRef>
          </c:val>
          <c:extLst xmlns:c16r2="http://schemas.microsoft.com/office/drawing/2015/06/chart">
            <c:ext xmlns:c16="http://schemas.microsoft.com/office/drawing/2014/chart" uri="{C3380CC4-5D6E-409C-BE32-E72D297353CC}">
              <c16:uniqueId val="{00000000-D1CA-4BE8-BB71-4788023420D4}"/>
            </c:ext>
          </c:extLst>
        </c:ser>
        <c:ser>
          <c:idx val="3"/>
          <c:order val="1"/>
          <c:val>
            <c:numRef>
              <c:f>'10 těles'!$CF$6:$CF$14</c:f>
              <c:numCache>
                <c:formatCode>General</c:formatCode>
                <c:ptCount val="9"/>
                <c:pt idx="0">
                  <c:v>1.6043054629059894</c:v>
                </c:pt>
                <c:pt idx="1">
                  <c:v>2.6642965466834179</c:v>
                </c:pt>
                <c:pt idx="2">
                  <c:v>3.5448709676835279</c:v>
                </c:pt>
                <c:pt idx="3">
                  <c:v>4.6241783046439879</c:v>
                </c:pt>
                <c:pt idx="4">
                  <c:v>5.7988390835962464</c:v>
                </c:pt>
                <c:pt idx="5">
                  <c:v>6.5872687955515996</c:v>
                </c:pt>
                <c:pt idx="6">
                  <c:v>7.358205498753458</c:v>
                </c:pt>
                <c:pt idx="7">
                  <c:v>7.9638617920807722</c:v>
                </c:pt>
                <c:pt idx="8">
                  <c:v>9.0956621476972508</c:v>
                </c:pt>
              </c:numCache>
            </c:numRef>
          </c:val>
          <c:extLst xmlns:c16r2="http://schemas.microsoft.com/office/drawing/2015/06/chart">
            <c:ext xmlns:c16="http://schemas.microsoft.com/office/drawing/2014/chart" uri="{C3380CC4-5D6E-409C-BE32-E72D297353CC}">
              <c16:uniqueId val="{00000001-D1CA-4BE8-BB71-4788023420D4}"/>
            </c:ext>
          </c:extLst>
        </c:ser>
        <c:marker val="1"/>
        <c:axId val="151247872"/>
        <c:axId val="153486080"/>
      </c:lineChart>
      <c:catAx>
        <c:axId val="151247872"/>
        <c:scaling>
          <c:orientation val="minMax"/>
        </c:scaling>
        <c:axPos val="b"/>
        <c:tickLblPos val="nextTo"/>
        <c:crossAx val="153486080"/>
        <c:crosses val="autoZero"/>
        <c:auto val="1"/>
        <c:lblAlgn val="ctr"/>
        <c:lblOffset val="100"/>
      </c:catAx>
      <c:valAx>
        <c:axId val="153486080"/>
        <c:scaling>
          <c:orientation val="minMax"/>
        </c:scaling>
        <c:axPos val="l"/>
        <c:majorGridlines/>
        <c:numFmt formatCode="General" sourceLinked="1"/>
        <c:tickLblPos val="nextTo"/>
        <c:crossAx val="15124787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cs-CZ"/>
  <c:chart>
    <c:plotArea>
      <c:layout/>
      <c:barChart>
        <c:barDir val="bar"/>
        <c:grouping val="clustered"/>
        <c:ser>
          <c:idx val="0"/>
          <c:order val="0"/>
          <c:val>
            <c:numRef>
              <c:f>'Kv clony'!$H$17:$H$22</c:f>
              <c:numCache>
                <c:formatCode>General</c:formatCode>
                <c:ptCount val="6"/>
                <c:pt idx="0">
                  <c:v>87.981801199496658</c:v>
                </c:pt>
                <c:pt idx="1">
                  <c:v>88.871203143478482</c:v>
                </c:pt>
                <c:pt idx="2">
                  <c:v>89.08641509862764</c:v>
                </c:pt>
                <c:pt idx="3">
                  <c:v>88.672277988573896</c:v>
                </c:pt>
                <c:pt idx="4">
                  <c:v>88.20458395689694</c:v>
                </c:pt>
                <c:pt idx="5">
                  <c:v>88.219417215990291</c:v>
                </c:pt>
              </c:numCache>
            </c:numRef>
          </c:val>
          <c:extLst xmlns:c16r2="http://schemas.microsoft.com/office/drawing/2015/06/chart">
            <c:ext xmlns:c16="http://schemas.microsoft.com/office/drawing/2014/chart" uri="{C3380CC4-5D6E-409C-BE32-E72D297353CC}">
              <c16:uniqueId val="{00000000-4414-4378-94C3-21C9644B6ACB}"/>
            </c:ext>
          </c:extLst>
        </c:ser>
        <c:axId val="161616640"/>
        <c:axId val="161618176"/>
      </c:barChart>
      <c:catAx>
        <c:axId val="161616640"/>
        <c:scaling>
          <c:orientation val="maxMin"/>
        </c:scaling>
        <c:axPos val="l"/>
        <c:tickLblPos val="nextTo"/>
        <c:crossAx val="161618176"/>
        <c:crosses val="autoZero"/>
        <c:auto val="1"/>
        <c:lblAlgn val="ctr"/>
        <c:lblOffset val="100"/>
      </c:catAx>
      <c:valAx>
        <c:axId val="161618176"/>
        <c:scaling>
          <c:orientation val="minMax"/>
        </c:scaling>
        <c:axPos val="t"/>
        <c:majorGridlines/>
        <c:numFmt formatCode="General" sourceLinked="1"/>
        <c:tickLblPos val="nextTo"/>
        <c:crossAx val="161616640"/>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'Kv clony'!$C$44:$C$53</c:f>
              <c:numCache>
                <c:formatCode>General</c:formatCode>
                <c:ptCount val="10"/>
                <c:pt idx="0">
                  <c:v>0.1</c:v>
                </c:pt>
                <c:pt idx="1">
                  <c:v>0.15000000000000002</c:v>
                </c:pt>
                <c:pt idx="2">
                  <c:v>0.22500000000000003</c:v>
                </c:pt>
                <c:pt idx="3">
                  <c:v>0.33750000000000002</c:v>
                </c:pt>
                <c:pt idx="4">
                  <c:v>0.50625000000000009</c:v>
                </c:pt>
                <c:pt idx="5">
                  <c:v>0.75937500000000013</c:v>
                </c:pt>
                <c:pt idx="6">
                  <c:v>1.1390625000000001</c:v>
                </c:pt>
                <c:pt idx="7">
                  <c:v>1.7085937500000001</c:v>
                </c:pt>
                <c:pt idx="8">
                  <c:v>2.5628906250000001</c:v>
                </c:pt>
                <c:pt idx="9">
                  <c:v>3.8443359375000004</c:v>
                </c:pt>
              </c:numCache>
            </c:numRef>
          </c:xVal>
          <c:yVal>
            <c:numRef>
              <c:f>'Kv clony'!$H$44:$H$53</c:f>
              <c:numCache>
                <c:formatCode>General</c:formatCode>
                <c:ptCount val="10"/>
                <c:pt idx="0">
                  <c:v>71.152943685779093</c:v>
                </c:pt>
                <c:pt idx="1">
                  <c:v>64.293942477208446</c:v>
                </c:pt>
                <c:pt idx="2">
                  <c:v>58.096135242381663</c:v>
                </c:pt>
                <c:pt idx="3">
                  <c:v>52.495784207004583</c:v>
                </c:pt>
                <c:pt idx="4">
                  <c:v>47.43529579051939</c:v>
                </c:pt>
                <c:pt idx="5">
                  <c:v>42.862628318138967</c:v>
                </c:pt>
                <c:pt idx="6">
                  <c:v>38.730756828254442</c:v>
                </c:pt>
                <c:pt idx="7">
                  <c:v>34.997189471336391</c:v>
                </c:pt>
                <c:pt idx="8">
                  <c:v>31.623530527012932</c:v>
                </c:pt>
                <c:pt idx="9">
                  <c:v>28.575085545425974</c:v>
                </c:pt>
              </c:numCache>
            </c:numRef>
          </c:yVal>
          <c:extLst xmlns:c16r2="http://schemas.microsoft.com/office/drawing/2015/06/chart">
            <c:ext xmlns:c16="http://schemas.microsoft.com/office/drawing/2014/chart" uri="{C3380CC4-5D6E-409C-BE32-E72D297353CC}">
              <c16:uniqueId val="{00000000-EE49-4224-890E-DEFA62013BCA}"/>
            </c:ext>
          </c:extLst>
        </c:ser>
        <c:ser>
          <c:idx val="1"/>
          <c:order val="1"/>
          <c:xVal>
            <c:numRef>
              <c:f>'Kv clony'!$C$44:$C$53</c:f>
              <c:numCache>
                <c:formatCode>General</c:formatCode>
                <c:ptCount val="10"/>
                <c:pt idx="0">
                  <c:v>0.1</c:v>
                </c:pt>
                <c:pt idx="1">
                  <c:v>0.15000000000000002</c:v>
                </c:pt>
                <c:pt idx="2">
                  <c:v>0.22500000000000003</c:v>
                </c:pt>
                <c:pt idx="3">
                  <c:v>0.33750000000000002</c:v>
                </c:pt>
                <c:pt idx="4">
                  <c:v>0.50625000000000009</c:v>
                </c:pt>
                <c:pt idx="5">
                  <c:v>0.75937500000000013</c:v>
                </c:pt>
                <c:pt idx="6">
                  <c:v>1.1390625000000001</c:v>
                </c:pt>
                <c:pt idx="7">
                  <c:v>1.7085937500000001</c:v>
                </c:pt>
                <c:pt idx="8">
                  <c:v>2.5628906250000001</c:v>
                </c:pt>
                <c:pt idx="9">
                  <c:v>3.8443359375000004</c:v>
                </c:pt>
              </c:numCache>
            </c:numRef>
          </c:xVal>
          <c:yVal>
            <c:numRef>
              <c:f>'Kv clony'!$I$44:$I$53</c:f>
              <c:numCache>
                <c:formatCode>General</c:formatCode>
                <c:ptCount val="10"/>
                <c:pt idx="0">
                  <c:v>35.9</c:v>
                </c:pt>
                <c:pt idx="1">
                  <c:v>35.9</c:v>
                </c:pt>
                <c:pt idx="2">
                  <c:v>35.9</c:v>
                </c:pt>
                <c:pt idx="3">
                  <c:v>35.9</c:v>
                </c:pt>
                <c:pt idx="4">
                  <c:v>35.9</c:v>
                </c:pt>
                <c:pt idx="5">
                  <c:v>35.9</c:v>
                </c:pt>
                <c:pt idx="6">
                  <c:v>35.9</c:v>
                </c:pt>
                <c:pt idx="7">
                  <c:v>35.9</c:v>
                </c:pt>
                <c:pt idx="8">
                  <c:v>35.9</c:v>
                </c:pt>
                <c:pt idx="9">
                  <c:v>35.9</c:v>
                </c:pt>
              </c:numCache>
            </c:numRef>
          </c:yVal>
          <c:extLst xmlns:c16r2="http://schemas.microsoft.com/office/drawing/2015/06/chart">
            <c:ext xmlns:c16="http://schemas.microsoft.com/office/drawing/2014/chart" uri="{C3380CC4-5D6E-409C-BE32-E72D297353CC}">
              <c16:uniqueId val="{00000001-EE49-4224-890E-DEFA62013BCA}"/>
            </c:ext>
          </c:extLst>
        </c:ser>
        <c:axId val="161630080"/>
        <c:axId val="161631616"/>
      </c:scatterChart>
      <c:valAx>
        <c:axId val="161630080"/>
        <c:scaling>
          <c:orientation val="minMax"/>
        </c:scaling>
        <c:axPos val="b"/>
        <c:numFmt formatCode="General" sourceLinked="1"/>
        <c:tickLblPos val="nextTo"/>
        <c:crossAx val="161631616"/>
        <c:crosses val="autoZero"/>
        <c:crossBetween val="midCat"/>
      </c:valAx>
      <c:valAx>
        <c:axId val="161631616"/>
        <c:scaling>
          <c:orientation val="minMax"/>
        </c:scaling>
        <c:axPos val="l"/>
        <c:majorGridlines/>
        <c:numFmt formatCode="General" sourceLinked="1"/>
        <c:tickLblPos val="nextTo"/>
        <c:crossAx val="16163008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plotArea>
      <c:layout/>
      <c:scatterChart>
        <c:scatterStyle val="lineMarker"/>
        <c:ser>
          <c:idx val="0"/>
          <c:order val="0"/>
          <c:tx>
            <c:strRef>
              <c:f>'konduktivita vody'!$B$39</c:f>
              <c:strCache>
                <c:ptCount val="1"/>
                <c:pt idx="0">
                  <c:v>měrná el. vodivost [mS/cm]</c:v>
                </c:pt>
              </c:strCache>
            </c:strRef>
          </c:tx>
          <c:xVal>
            <c:numRef>
              <c:f>'konduktivita vody'!$A$40:$A$58</c:f>
              <c:numCache>
                <c:formatCode>General</c:formatCode>
                <c:ptCount val="19"/>
                <c:pt idx="0">
                  <c:v>0</c:v>
                </c:pt>
                <c:pt idx="1">
                  <c:v>0.2</c:v>
                </c:pt>
                <c:pt idx="2">
                  <c:v>0.4</c:v>
                </c:pt>
                <c:pt idx="3">
                  <c:v>0.6</c:v>
                </c:pt>
                <c:pt idx="4">
                  <c:v>0.8</c:v>
                </c:pt>
                <c:pt idx="5">
                  <c:v>1</c:v>
                </c:pt>
                <c:pt idx="6">
                  <c:v>1.2</c:v>
                </c:pt>
                <c:pt idx="7">
                  <c:v>1.4</c:v>
                </c:pt>
                <c:pt idx="8">
                  <c:v>1.6</c:v>
                </c:pt>
                <c:pt idx="9">
                  <c:v>1.8</c:v>
                </c:pt>
                <c:pt idx="10">
                  <c:v>2</c:v>
                </c:pt>
                <c:pt idx="11">
                  <c:v>2.2000000000000002</c:v>
                </c:pt>
                <c:pt idx="12">
                  <c:v>2.4</c:v>
                </c:pt>
                <c:pt idx="13">
                  <c:v>2.6</c:v>
                </c:pt>
                <c:pt idx="14">
                  <c:v>2.8</c:v>
                </c:pt>
                <c:pt idx="15">
                  <c:v>3</c:v>
                </c:pt>
                <c:pt idx="16">
                  <c:v>3.2</c:v>
                </c:pt>
                <c:pt idx="17">
                  <c:v>3.4</c:v>
                </c:pt>
                <c:pt idx="18">
                  <c:v>3.6</c:v>
                </c:pt>
              </c:numCache>
            </c:numRef>
          </c:xVal>
          <c:yVal>
            <c:numRef>
              <c:f>'konduktivita vody'!$B$40:$B$58</c:f>
              <c:numCache>
                <c:formatCode>General</c:formatCode>
                <c:ptCount val="19"/>
                <c:pt idx="0">
                  <c:v>3.5</c:v>
                </c:pt>
                <c:pt idx="1">
                  <c:v>3.08</c:v>
                </c:pt>
                <c:pt idx="2">
                  <c:v>2.66</c:v>
                </c:pt>
                <c:pt idx="3">
                  <c:v>2.2599999999999998</c:v>
                </c:pt>
                <c:pt idx="4">
                  <c:v>1.85</c:v>
                </c:pt>
                <c:pt idx="5">
                  <c:v>1.49</c:v>
                </c:pt>
                <c:pt idx="6">
                  <c:v>1.28</c:v>
                </c:pt>
                <c:pt idx="7">
                  <c:v>1.31</c:v>
                </c:pt>
                <c:pt idx="8">
                  <c:v>1.4</c:v>
                </c:pt>
                <c:pt idx="9">
                  <c:v>1.52</c:v>
                </c:pt>
                <c:pt idx="10">
                  <c:v>1.63</c:v>
                </c:pt>
                <c:pt idx="11">
                  <c:v>1.74</c:v>
                </c:pt>
                <c:pt idx="12">
                  <c:v>1.88</c:v>
                </c:pt>
                <c:pt idx="13">
                  <c:v>2.1800000000000002</c:v>
                </c:pt>
                <c:pt idx="14">
                  <c:v>2.54</c:v>
                </c:pt>
                <c:pt idx="15">
                  <c:v>2.88</c:v>
                </c:pt>
                <c:pt idx="16">
                  <c:v>3.24</c:v>
                </c:pt>
                <c:pt idx="17">
                  <c:v>3.6</c:v>
                </c:pt>
                <c:pt idx="18">
                  <c:v>3.94</c:v>
                </c:pt>
              </c:numCache>
            </c:numRef>
          </c:yVal>
          <c:extLst xmlns:c16r2="http://schemas.microsoft.com/office/drawing/2015/06/chart">
            <c:ext xmlns:c16="http://schemas.microsoft.com/office/drawing/2014/chart" uri="{C3380CC4-5D6E-409C-BE32-E72D297353CC}">
              <c16:uniqueId val="{00000000-A0BF-4AA3-94C9-8D3CAE845B21}"/>
            </c:ext>
          </c:extLst>
        </c:ser>
        <c:axId val="161573888"/>
        <c:axId val="161587968"/>
      </c:scatterChart>
      <c:valAx>
        <c:axId val="161573888"/>
        <c:scaling>
          <c:orientation val="minMax"/>
        </c:scaling>
        <c:axPos val="b"/>
        <c:majorGridlines/>
        <c:numFmt formatCode="General" sourceLinked="1"/>
        <c:tickLblPos val="nextTo"/>
        <c:crossAx val="161587968"/>
        <c:crosses val="autoZero"/>
        <c:crossBetween val="midCat"/>
      </c:valAx>
      <c:valAx>
        <c:axId val="161587968"/>
        <c:scaling>
          <c:orientation val="minMax"/>
        </c:scaling>
        <c:axPos val="l"/>
        <c:majorGridlines/>
        <c:numFmt formatCode="General" sourceLinked="1"/>
        <c:tickLblPos val="nextTo"/>
        <c:crossAx val="16157388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sz="1000" baseline="0"/>
            </a:pPr>
            <a:r>
              <a:rPr lang="cs-CZ" sz="1000" baseline="0"/>
              <a:t>6 poloh přednast/průmer mm</a:t>
            </a:r>
          </a:p>
        </c:rich>
      </c:tx>
    </c:title>
    <c:plotArea>
      <c:layout/>
      <c:scatterChart>
        <c:scatterStyle val="lineMarker"/>
        <c:ser>
          <c:idx val="0"/>
          <c:order val="0"/>
          <c:tx>
            <c:strRef>
              <c:f>'tabulka světlostí'!$N$5</c:f>
              <c:strCache>
                <c:ptCount val="1"/>
                <c:pt idx="0">
                  <c:v>prumer</c:v>
                </c:pt>
              </c:strCache>
            </c:strRef>
          </c:tx>
          <c:xVal>
            <c:numRef>
              <c:f>'tabulka světlostí'!$M$6:$M$12</c:f>
              <c:numCache>
                <c:formatCode>General</c:formatCode>
                <c:ptCount val="7"/>
                <c:pt idx="0">
                  <c:v>0.5</c:v>
                </c:pt>
                <c:pt idx="1">
                  <c:v>1.5</c:v>
                </c:pt>
                <c:pt idx="2">
                  <c:v>2.5</c:v>
                </c:pt>
                <c:pt idx="3">
                  <c:v>3.5</c:v>
                </c:pt>
                <c:pt idx="4">
                  <c:v>4.5</c:v>
                </c:pt>
                <c:pt idx="5">
                  <c:v>5.5</c:v>
                </c:pt>
                <c:pt idx="6">
                  <c:v>6.5</c:v>
                </c:pt>
              </c:numCache>
            </c:numRef>
          </c:xVal>
          <c:yVal>
            <c:numRef>
              <c:f>'tabulka světlostí'!$N$6:$N$12</c:f>
              <c:numCache>
                <c:formatCode>General</c:formatCode>
                <c:ptCount val="7"/>
                <c:pt idx="0">
                  <c:v>0.79785054578954751</c:v>
                </c:pt>
                <c:pt idx="1">
                  <c:v>1.1167581303916896</c:v>
                </c:pt>
                <c:pt idx="2">
                  <c:v>1.8021606836453106</c:v>
                </c:pt>
                <c:pt idx="3">
                  <c:v>2.6486244656617846</c:v>
                </c:pt>
                <c:pt idx="4">
                  <c:v>3.3034150989111999</c:v>
                </c:pt>
                <c:pt idx="5">
                  <c:v>3.9483362347258719</c:v>
                </c:pt>
                <c:pt idx="6">
                  <c:v>4.7270231575672756</c:v>
                </c:pt>
              </c:numCache>
            </c:numRef>
          </c:yVal>
          <c:extLst xmlns:c16r2="http://schemas.microsoft.com/office/drawing/2015/06/chart">
            <c:ext xmlns:c16="http://schemas.microsoft.com/office/drawing/2014/chart" uri="{C3380CC4-5D6E-409C-BE32-E72D297353CC}">
              <c16:uniqueId val="{00000000-6E1D-4A07-A19B-8C732D7695B6}"/>
            </c:ext>
          </c:extLst>
        </c:ser>
        <c:axId val="161776000"/>
        <c:axId val="161777536"/>
      </c:scatterChart>
      <c:valAx>
        <c:axId val="161776000"/>
        <c:scaling>
          <c:orientation val="minMax"/>
        </c:scaling>
        <c:axPos val="b"/>
        <c:majorGridlines/>
        <c:numFmt formatCode="General" sourceLinked="1"/>
        <c:tickLblPos val="nextTo"/>
        <c:crossAx val="161777536"/>
        <c:crosses val="autoZero"/>
        <c:crossBetween val="midCat"/>
        <c:majorUnit val="1"/>
      </c:valAx>
      <c:valAx>
        <c:axId val="161777536"/>
        <c:scaling>
          <c:orientation val="minMax"/>
        </c:scaling>
        <c:axPos val="l"/>
        <c:majorGridlines/>
        <c:numFmt formatCode="General" sourceLinked="1"/>
        <c:tickLblPos val="nextTo"/>
        <c:crossAx val="16177600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sz="1000" baseline="0"/>
            </a:pPr>
            <a:r>
              <a:rPr lang="cs-CZ" sz="1000" baseline="0"/>
              <a:t>6 poloh přednast / Kv</a:t>
            </a:r>
          </a:p>
        </c:rich>
      </c:tx>
    </c:title>
    <c:plotArea>
      <c:layout/>
      <c:scatterChart>
        <c:scatterStyle val="lineMarker"/>
        <c:ser>
          <c:idx val="0"/>
          <c:order val="0"/>
          <c:tx>
            <c:strRef>
              <c:f>'tabulka světlostí'!$O$5</c:f>
              <c:strCache>
                <c:ptCount val="1"/>
                <c:pt idx="0">
                  <c:v>Kv</c:v>
                </c:pt>
              </c:strCache>
            </c:strRef>
          </c:tx>
          <c:xVal>
            <c:numRef>
              <c:f>'tabulka světlostí'!$M$6:$M$12</c:f>
              <c:numCache>
                <c:formatCode>General</c:formatCode>
                <c:ptCount val="7"/>
                <c:pt idx="0">
                  <c:v>0.5</c:v>
                </c:pt>
                <c:pt idx="1">
                  <c:v>1.5</c:v>
                </c:pt>
                <c:pt idx="2">
                  <c:v>2.5</c:v>
                </c:pt>
                <c:pt idx="3">
                  <c:v>3.5</c:v>
                </c:pt>
                <c:pt idx="4">
                  <c:v>4.5</c:v>
                </c:pt>
                <c:pt idx="5">
                  <c:v>5.5</c:v>
                </c:pt>
                <c:pt idx="6">
                  <c:v>6.5</c:v>
                </c:pt>
              </c:numCache>
            </c:numRef>
          </c:xVal>
          <c:yVal>
            <c:numRef>
              <c:f>'tabulka světlostí'!$O$6:$O$12</c:f>
              <c:numCache>
                <c:formatCode>General</c:formatCode>
                <c:ptCount val="7"/>
                <c:pt idx="0">
                  <c:v>2.4985195616604648E-2</c:v>
                </c:pt>
                <c:pt idx="1">
                  <c:v>4.8950587330490729E-2</c:v>
                </c:pt>
                <c:pt idx="2">
                  <c:v>0.12747548783981963</c:v>
                </c:pt>
                <c:pt idx="3">
                  <c:v>0.27534705373401036</c:v>
                </c:pt>
                <c:pt idx="4">
                  <c:v>0.42831763914179394</c:v>
                </c:pt>
                <c:pt idx="5">
                  <c:v>0.61188234163113409</c:v>
                </c:pt>
                <c:pt idx="6">
                  <c:v>0.87703135633795881</c:v>
                </c:pt>
              </c:numCache>
            </c:numRef>
          </c:yVal>
          <c:extLst xmlns:c16r2="http://schemas.microsoft.com/office/drawing/2015/06/chart">
            <c:ext xmlns:c16="http://schemas.microsoft.com/office/drawing/2014/chart" uri="{C3380CC4-5D6E-409C-BE32-E72D297353CC}">
              <c16:uniqueId val="{00000000-7CBF-4E2C-9CAE-B51F5F5DE8EC}"/>
            </c:ext>
          </c:extLst>
        </c:ser>
        <c:axId val="161801344"/>
        <c:axId val="161802880"/>
      </c:scatterChart>
      <c:valAx>
        <c:axId val="161801344"/>
        <c:scaling>
          <c:orientation val="minMax"/>
        </c:scaling>
        <c:axPos val="b"/>
        <c:majorGridlines/>
        <c:numFmt formatCode="General" sourceLinked="1"/>
        <c:tickLblPos val="nextTo"/>
        <c:crossAx val="161802880"/>
        <c:crosses val="autoZero"/>
        <c:crossBetween val="midCat"/>
        <c:majorUnit val="1"/>
      </c:valAx>
      <c:valAx>
        <c:axId val="161802880"/>
        <c:scaling>
          <c:orientation val="minMax"/>
        </c:scaling>
        <c:axPos val="l"/>
        <c:majorGridlines/>
        <c:numFmt formatCode="General" sourceLinked="1"/>
        <c:tickLblPos val="nextTo"/>
        <c:crossAx val="16180134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'tabulka světlostí'!$B$42</c:f>
              <c:strCache>
                <c:ptCount val="1"/>
                <c:pt idx="0">
                  <c:v>DN</c:v>
                </c:pt>
              </c:strCache>
            </c:strRef>
          </c:tx>
          <c:xVal>
            <c:numRef>
              <c:f>'tabulka světlostí'!$A$43:$A$55</c:f>
              <c:numCache>
                <c:formatCode>#,##0.00</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xVal>
          <c:yVal>
            <c:numRef>
              <c:f>'tabulka světlostí'!$B$43:$B$55</c:f>
              <c:numCache>
                <c:formatCode>#,##0.00</c:formatCode>
                <c:ptCount val="13"/>
                <c:pt idx="0">
                  <c:v>15</c:v>
                </c:pt>
                <c:pt idx="1">
                  <c:v>15</c:v>
                </c:pt>
                <c:pt idx="2">
                  <c:v>15</c:v>
                </c:pt>
                <c:pt idx="3">
                  <c:v>20</c:v>
                </c:pt>
                <c:pt idx="4">
                  <c:v>20</c:v>
                </c:pt>
                <c:pt idx="5">
                  <c:v>20</c:v>
                </c:pt>
                <c:pt idx="6">
                  <c:v>25</c:v>
                </c:pt>
                <c:pt idx="7">
                  <c:v>25</c:v>
                </c:pt>
                <c:pt idx="8">
                  <c:v>25</c:v>
                </c:pt>
                <c:pt idx="9">
                  <c:v>25</c:v>
                </c:pt>
                <c:pt idx="10">
                  <c:v>32</c:v>
                </c:pt>
                <c:pt idx="11">
                  <c:v>32</c:v>
                </c:pt>
                <c:pt idx="12">
                  <c:v>32</c:v>
                </c:pt>
              </c:numCache>
            </c:numRef>
          </c:yVal>
          <c:extLst xmlns:c16r2="http://schemas.microsoft.com/office/drawing/2015/06/chart">
            <c:ext xmlns:c16="http://schemas.microsoft.com/office/drawing/2014/chart" uri="{C3380CC4-5D6E-409C-BE32-E72D297353CC}">
              <c16:uniqueId val="{00000000-06E3-4162-B37F-09A57896C279}"/>
            </c:ext>
          </c:extLst>
        </c:ser>
        <c:ser>
          <c:idx val="1"/>
          <c:order val="1"/>
          <c:tx>
            <c:strRef>
              <c:f>'tabulka světlostí'!$C$42</c:f>
              <c:strCache>
                <c:ptCount val="1"/>
                <c:pt idx="0">
                  <c:v>vnější (mm)</c:v>
                </c:pt>
              </c:strCache>
            </c:strRef>
          </c:tx>
          <c:xVal>
            <c:numRef>
              <c:f>'tabulka světlostí'!$A$43:$A$55</c:f>
              <c:numCache>
                <c:formatCode>#,##0.00</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xVal>
          <c:yVal>
            <c:numRef>
              <c:f>'tabulka světlostí'!$C$43:$C$55</c:f>
              <c:numCache>
                <c:formatCode>General</c:formatCode>
                <c:ptCount val="13"/>
                <c:pt idx="0">
                  <c:v>21.3</c:v>
                </c:pt>
                <c:pt idx="1">
                  <c:v>21.3</c:v>
                </c:pt>
                <c:pt idx="2">
                  <c:v>21.3</c:v>
                </c:pt>
                <c:pt idx="3">
                  <c:v>26.9</c:v>
                </c:pt>
                <c:pt idx="4">
                  <c:v>26.9</c:v>
                </c:pt>
                <c:pt idx="5">
                  <c:v>26.9</c:v>
                </c:pt>
                <c:pt idx="6">
                  <c:v>33.700000000000003</c:v>
                </c:pt>
                <c:pt idx="7">
                  <c:v>33.700000000000003</c:v>
                </c:pt>
                <c:pt idx="8">
                  <c:v>33.700000000000003</c:v>
                </c:pt>
                <c:pt idx="9">
                  <c:v>33.700000000000003</c:v>
                </c:pt>
                <c:pt idx="10">
                  <c:v>42.4</c:v>
                </c:pt>
                <c:pt idx="11">
                  <c:v>42.4</c:v>
                </c:pt>
                <c:pt idx="12">
                  <c:v>42.4</c:v>
                </c:pt>
              </c:numCache>
            </c:numRef>
          </c:yVal>
          <c:extLst xmlns:c16r2="http://schemas.microsoft.com/office/drawing/2015/06/chart">
            <c:ext xmlns:c16="http://schemas.microsoft.com/office/drawing/2014/chart" uri="{C3380CC4-5D6E-409C-BE32-E72D297353CC}">
              <c16:uniqueId val="{00000001-06E3-4162-B37F-09A57896C279}"/>
            </c:ext>
          </c:extLst>
        </c:ser>
        <c:ser>
          <c:idx val="2"/>
          <c:order val="2"/>
          <c:tx>
            <c:strRef>
              <c:f>'tabulka světlostí'!$D$42</c:f>
              <c:strCache>
                <c:ptCount val="1"/>
                <c:pt idx="0">
                  <c:v>stěna (mm)</c:v>
                </c:pt>
              </c:strCache>
            </c:strRef>
          </c:tx>
          <c:xVal>
            <c:numRef>
              <c:f>'tabulka světlostí'!$A$43:$A$55</c:f>
              <c:numCache>
                <c:formatCode>#,##0.00</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xVal>
          <c:yVal>
            <c:numRef>
              <c:f>'tabulka světlostí'!$D$43:$D$55</c:f>
              <c:numCache>
                <c:formatCode>General</c:formatCode>
                <c:ptCount val="13"/>
                <c:pt idx="0">
                  <c:v>2.2999999999999998</c:v>
                </c:pt>
                <c:pt idx="1">
                  <c:v>2.6</c:v>
                </c:pt>
                <c:pt idx="2">
                  <c:v>2.9</c:v>
                </c:pt>
                <c:pt idx="3">
                  <c:v>2.2999999999999998</c:v>
                </c:pt>
                <c:pt idx="4">
                  <c:v>2.6</c:v>
                </c:pt>
                <c:pt idx="5">
                  <c:v>2.9</c:v>
                </c:pt>
                <c:pt idx="6">
                  <c:v>2.2999999999999998</c:v>
                </c:pt>
                <c:pt idx="7">
                  <c:v>2.6</c:v>
                </c:pt>
                <c:pt idx="8">
                  <c:v>2.9</c:v>
                </c:pt>
                <c:pt idx="9">
                  <c:v>3.2</c:v>
                </c:pt>
                <c:pt idx="10">
                  <c:v>2.6</c:v>
                </c:pt>
                <c:pt idx="11">
                  <c:v>2.9</c:v>
                </c:pt>
                <c:pt idx="12">
                  <c:v>3.2</c:v>
                </c:pt>
              </c:numCache>
            </c:numRef>
          </c:yVal>
          <c:extLst xmlns:c16r2="http://schemas.microsoft.com/office/drawing/2015/06/chart">
            <c:ext xmlns:c16="http://schemas.microsoft.com/office/drawing/2014/chart" uri="{C3380CC4-5D6E-409C-BE32-E72D297353CC}">
              <c16:uniqueId val="{00000002-06E3-4162-B37F-09A57896C279}"/>
            </c:ext>
          </c:extLst>
        </c:ser>
        <c:ser>
          <c:idx val="3"/>
          <c:order val="3"/>
          <c:tx>
            <c:strRef>
              <c:f>'tabulka světlostí'!$E$42</c:f>
              <c:strCache>
                <c:ptCount val="1"/>
                <c:pt idx="0">
                  <c:v>světlost (mm)</c:v>
                </c:pt>
              </c:strCache>
            </c:strRef>
          </c:tx>
          <c:xVal>
            <c:numRef>
              <c:f>'tabulka světlostí'!$A$43:$A$55</c:f>
              <c:numCache>
                <c:formatCode>#,##0.00</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xVal>
          <c:yVal>
            <c:numRef>
              <c:f>'tabulka světlostí'!$E$43:$E$55</c:f>
              <c:numCache>
                <c:formatCode>General</c:formatCode>
                <c:ptCount val="13"/>
                <c:pt idx="0">
                  <c:v>16.7</c:v>
                </c:pt>
                <c:pt idx="1">
                  <c:v>16.099999999999998</c:v>
                </c:pt>
                <c:pt idx="2">
                  <c:v>15.500000000000002</c:v>
                </c:pt>
                <c:pt idx="3">
                  <c:v>22.299999999999997</c:v>
                </c:pt>
                <c:pt idx="4">
                  <c:v>21.699999999999996</c:v>
                </c:pt>
                <c:pt idx="5">
                  <c:v>21.1</c:v>
                </c:pt>
                <c:pt idx="6">
                  <c:v>29.1</c:v>
                </c:pt>
                <c:pt idx="7">
                  <c:v>28.5</c:v>
                </c:pt>
                <c:pt idx="8">
                  <c:v>27.900000000000006</c:v>
                </c:pt>
                <c:pt idx="9">
                  <c:v>27.300000000000004</c:v>
                </c:pt>
                <c:pt idx="10">
                  <c:v>37.199999999999996</c:v>
                </c:pt>
                <c:pt idx="11">
                  <c:v>36.6</c:v>
                </c:pt>
                <c:pt idx="12">
                  <c:v>35.999999999999993</c:v>
                </c:pt>
              </c:numCache>
            </c:numRef>
          </c:yVal>
          <c:extLst xmlns:c16r2="http://schemas.microsoft.com/office/drawing/2015/06/chart">
            <c:ext xmlns:c16="http://schemas.microsoft.com/office/drawing/2014/chart" uri="{C3380CC4-5D6E-409C-BE32-E72D297353CC}">
              <c16:uniqueId val="{00000003-06E3-4162-B37F-09A57896C279}"/>
            </c:ext>
          </c:extLst>
        </c:ser>
        <c:ser>
          <c:idx val="4"/>
          <c:order val="4"/>
          <c:tx>
            <c:strRef>
              <c:f>'tabulka světlostí'!$F$42</c:f>
              <c:strCache>
                <c:ptCount val="1"/>
                <c:pt idx="0">
                  <c:v>vztah</c:v>
                </c:pt>
              </c:strCache>
            </c:strRef>
          </c:tx>
          <c:xVal>
            <c:numRef>
              <c:f>'tabulka světlostí'!$A$43:$A$55</c:f>
              <c:numCache>
                <c:formatCode>#,##0.00</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xVal>
          <c:yVal>
            <c:numRef>
              <c:f>'tabulka světlostí'!$F$43:$F$55</c:f>
              <c:numCache>
                <c:formatCode>General</c:formatCode>
                <c:ptCount val="13"/>
                <c:pt idx="0">
                  <c:v>20.399999999999999</c:v>
                </c:pt>
                <c:pt idx="1">
                  <c:v>20.399999999999999</c:v>
                </c:pt>
                <c:pt idx="2">
                  <c:v>20.399999999999999</c:v>
                </c:pt>
                <c:pt idx="3">
                  <c:v>26.4</c:v>
                </c:pt>
                <c:pt idx="4">
                  <c:v>26.4</c:v>
                </c:pt>
                <c:pt idx="5">
                  <c:v>26.4</c:v>
                </c:pt>
                <c:pt idx="6">
                  <c:v>32.4</c:v>
                </c:pt>
                <c:pt idx="7">
                  <c:v>32.4</c:v>
                </c:pt>
                <c:pt idx="8">
                  <c:v>32.4</c:v>
                </c:pt>
              </c:numCache>
            </c:numRef>
          </c:yVal>
          <c:extLst xmlns:c16r2="http://schemas.microsoft.com/office/drawing/2015/06/chart">
            <c:ext xmlns:c16="http://schemas.microsoft.com/office/drawing/2014/chart" uri="{C3380CC4-5D6E-409C-BE32-E72D297353CC}">
              <c16:uniqueId val="{00000004-06E3-4162-B37F-09A57896C279}"/>
            </c:ext>
          </c:extLst>
        </c:ser>
        <c:axId val="161854592"/>
        <c:axId val="161856128"/>
      </c:scatterChart>
      <c:valAx>
        <c:axId val="161854592"/>
        <c:scaling>
          <c:orientation val="minMax"/>
        </c:scaling>
        <c:axPos val="b"/>
        <c:numFmt formatCode="#,##0.00" sourceLinked="1"/>
        <c:tickLblPos val="nextTo"/>
        <c:crossAx val="161856128"/>
        <c:crosses val="autoZero"/>
        <c:crossBetween val="midCat"/>
      </c:valAx>
      <c:valAx>
        <c:axId val="161856128"/>
        <c:scaling>
          <c:orientation val="minMax"/>
        </c:scaling>
        <c:axPos val="l"/>
        <c:majorGridlines/>
        <c:numFmt formatCode="#,##0.00" sourceLinked="1"/>
        <c:tickLblPos val="nextTo"/>
        <c:crossAx val="16185459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plotArea>
      <c:layout/>
      <c:barChart>
        <c:barDir val="bar"/>
        <c:grouping val="clustered"/>
        <c:ser>
          <c:idx val="0"/>
          <c:order val="0"/>
          <c:val>
            <c:numRef>
              <c:f>'jednoduchý výpočet potrubí'!$G$38:$G$55</c:f>
              <c:numCache>
                <c:formatCode>General</c:formatCode>
                <c:ptCount val="18"/>
                <c:pt idx="0">
                  <c:v>1.042545200988549</c:v>
                </c:pt>
                <c:pt idx="1">
                  <c:v>1.0736340681278742</c:v>
                </c:pt>
                <c:pt idx="2">
                  <c:v>1.0735008949875537</c:v>
                </c:pt>
                <c:pt idx="3">
                  <c:v>1.0098517996027481</c:v>
                </c:pt>
                <c:pt idx="4">
                  <c:v>1.014031008057519</c:v>
                </c:pt>
                <c:pt idx="5">
                  <c:v>0.99104166516424264</c:v>
                </c:pt>
                <c:pt idx="6">
                  <c:v>1.0116979437473612</c:v>
                </c:pt>
                <c:pt idx="7">
                  <c:v>1.0214996170158814</c:v>
                </c:pt>
                <c:pt idx="8">
                  <c:v>0.99556036883353949</c:v>
                </c:pt>
                <c:pt idx="9">
                  <c:v>1.0182999637562571</c:v>
                </c:pt>
                <c:pt idx="10">
                  <c:v>1.0204838667354053</c:v>
                </c:pt>
                <c:pt idx="11">
                  <c:v>0.9988567339454183</c:v>
                </c:pt>
                <c:pt idx="12">
                  <c:v>1.0088348039421526</c:v>
                </c:pt>
                <c:pt idx="13">
                  <c:v>1.0215905581200995</c:v>
                </c:pt>
                <c:pt idx="14">
                  <c:v>1.0015330581370896</c:v>
                </c:pt>
                <c:pt idx="15">
                  <c:v>1.0068145208717061</c:v>
                </c:pt>
                <c:pt idx="16">
                  <c:v>1.0212179977935885</c:v>
                </c:pt>
                <c:pt idx="17">
                  <c:v>1.0020974281659205</c:v>
                </c:pt>
              </c:numCache>
            </c:numRef>
          </c:val>
          <c:extLst xmlns:c16r2="http://schemas.microsoft.com/office/drawing/2015/06/chart">
            <c:ext xmlns:c16="http://schemas.microsoft.com/office/drawing/2014/chart" uri="{C3380CC4-5D6E-409C-BE32-E72D297353CC}">
              <c16:uniqueId val="{00000000-E357-4A97-99BA-9F5159F97209}"/>
            </c:ext>
          </c:extLst>
        </c:ser>
        <c:axId val="162015488"/>
        <c:axId val="162017280"/>
      </c:barChart>
      <c:catAx>
        <c:axId val="162015488"/>
        <c:scaling>
          <c:orientation val="maxMin"/>
        </c:scaling>
        <c:axPos val="l"/>
        <c:numFmt formatCode="General" sourceLinked="1"/>
        <c:tickLblPos val="nextTo"/>
        <c:crossAx val="162017280"/>
        <c:crosses val="autoZero"/>
        <c:auto val="1"/>
        <c:lblAlgn val="ctr"/>
        <c:lblOffset val="100"/>
      </c:catAx>
      <c:valAx>
        <c:axId val="162017280"/>
        <c:scaling>
          <c:orientation val="minMax"/>
        </c:scaling>
        <c:axPos val="t"/>
        <c:majorGridlines/>
        <c:numFmt formatCode="General" sourceLinked="1"/>
        <c:tickLblPos val="nextTo"/>
        <c:crossAx val="162015488"/>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Převodní  tabulka</a:t>
            </a:r>
          </a:p>
        </c:rich>
      </c:tx>
    </c:title>
    <c:plotArea>
      <c:layout/>
      <c:scatterChart>
        <c:scatterStyle val="lineMarker"/>
        <c:ser>
          <c:idx val="0"/>
          <c:order val="0"/>
          <c:tx>
            <c:strRef>
              <c:f>exponent!$A$5</c:f>
              <c:strCache>
                <c:ptCount val="1"/>
                <c:pt idx="0">
                  <c:v>teorie T4</c:v>
                </c:pt>
              </c:strCache>
            </c:strRef>
          </c:tx>
          <c:xVal>
            <c:numRef>
              <c:f>exponent!$F$2:$K$2</c:f>
              <c:numCache>
                <c:formatCode>General</c:formatCode>
                <c:ptCount val="6"/>
                <c:pt idx="0">
                  <c:v>18</c:v>
                </c:pt>
                <c:pt idx="1">
                  <c:v>20</c:v>
                </c:pt>
                <c:pt idx="2">
                  <c:v>30</c:v>
                </c:pt>
                <c:pt idx="3">
                  <c:v>40</c:v>
                </c:pt>
                <c:pt idx="4">
                  <c:v>50</c:v>
                </c:pt>
                <c:pt idx="5">
                  <c:v>60</c:v>
                </c:pt>
              </c:numCache>
            </c:numRef>
          </c:xVal>
          <c:yVal>
            <c:numRef>
              <c:f>exponent!$F$5:$K$5</c:f>
              <c:numCache>
                <c:formatCode>General</c:formatCode>
                <c:ptCount val="6"/>
                <c:pt idx="0">
                  <c:v>0.30705143411793256</c:v>
                </c:pt>
                <c:pt idx="1">
                  <c:v>0.34461447464207717</c:v>
                </c:pt>
                <c:pt idx="2">
                  <c:v>0.5434497088085416</c:v>
                </c:pt>
                <c:pt idx="3">
                  <c:v>0.7615111623392381</c:v>
                </c:pt>
                <c:pt idx="4">
                  <c:v>1</c:v>
                </c:pt>
                <c:pt idx="5">
                  <c:v>1.2601537854889591</c:v>
                </c:pt>
              </c:numCache>
            </c:numRef>
          </c:yVal>
          <c:extLst xmlns:c16r2="http://schemas.microsoft.com/office/drawing/2015/06/chart">
            <c:ext xmlns:c16="http://schemas.microsoft.com/office/drawing/2014/chart" uri="{C3380CC4-5D6E-409C-BE32-E72D297353CC}">
              <c16:uniqueId val="{00000000-EC5F-4068-B35D-F5661813917D}"/>
            </c:ext>
          </c:extLst>
        </c:ser>
        <c:ser>
          <c:idx val="1"/>
          <c:order val="1"/>
          <c:tx>
            <c:strRef>
              <c:f>exponent!$A$6</c:f>
              <c:strCache>
                <c:ptCount val="1"/>
                <c:pt idx="0">
                  <c:v>1,3</c:v>
                </c:pt>
              </c:strCache>
            </c:strRef>
          </c:tx>
          <c:xVal>
            <c:numRef>
              <c:f>exponent!$F$2:$K$2</c:f>
              <c:numCache>
                <c:formatCode>General</c:formatCode>
                <c:ptCount val="6"/>
                <c:pt idx="0">
                  <c:v>18</c:v>
                </c:pt>
                <c:pt idx="1">
                  <c:v>20</c:v>
                </c:pt>
                <c:pt idx="2">
                  <c:v>30</c:v>
                </c:pt>
                <c:pt idx="3">
                  <c:v>40</c:v>
                </c:pt>
                <c:pt idx="4">
                  <c:v>50</c:v>
                </c:pt>
                <c:pt idx="5">
                  <c:v>60</c:v>
                </c:pt>
              </c:numCache>
            </c:numRef>
          </c:xVal>
          <c:yVal>
            <c:numRef>
              <c:f>exponent!$F$6:$K$6</c:f>
              <c:numCache>
                <c:formatCode>General</c:formatCode>
                <c:ptCount val="6"/>
                <c:pt idx="0">
                  <c:v>0.30683076923076924</c:v>
                </c:pt>
                <c:pt idx="1">
                  <c:v>0.34461538461538466</c:v>
                </c:pt>
                <c:pt idx="2">
                  <c:v>0.54461538461538461</c:v>
                </c:pt>
                <c:pt idx="3">
                  <c:v>0.7630769230769231</c:v>
                </c:pt>
                <c:pt idx="4">
                  <c:v>1</c:v>
                </c:pt>
                <c:pt idx="5">
                  <c:v>1.2553846153846153</c:v>
                </c:pt>
              </c:numCache>
            </c:numRef>
          </c:yVal>
          <c:extLst xmlns:c16r2="http://schemas.microsoft.com/office/drawing/2015/06/chart">
            <c:ext xmlns:c16="http://schemas.microsoft.com/office/drawing/2014/chart" uri="{C3380CC4-5D6E-409C-BE32-E72D297353CC}">
              <c16:uniqueId val="{00000001-EC5F-4068-B35D-F5661813917D}"/>
            </c:ext>
          </c:extLst>
        </c:ser>
        <c:ser>
          <c:idx val="2"/>
          <c:order val="2"/>
          <c:tx>
            <c:strRef>
              <c:f>exponent!$A$7</c:f>
              <c:strCache>
                <c:ptCount val="1"/>
                <c:pt idx="0">
                  <c:v>0,12</c:v>
                </c:pt>
              </c:strCache>
            </c:strRef>
          </c:tx>
          <c:xVal>
            <c:numRef>
              <c:f>exponent!$F$2:$K$2</c:f>
              <c:numCache>
                <c:formatCode>General</c:formatCode>
                <c:ptCount val="6"/>
                <c:pt idx="0">
                  <c:v>18</c:v>
                </c:pt>
                <c:pt idx="1">
                  <c:v>20</c:v>
                </c:pt>
                <c:pt idx="2">
                  <c:v>30</c:v>
                </c:pt>
                <c:pt idx="3">
                  <c:v>40</c:v>
                </c:pt>
                <c:pt idx="4">
                  <c:v>50</c:v>
                </c:pt>
                <c:pt idx="5">
                  <c:v>60</c:v>
                </c:pt>
              </c:numCache>
            </c:numRef>
          </c:xVal>
          <c:yVal>
            <c:numRef>
              <c:f>exponent!$F$7:$K$7</c:f>
              <c:numCache>
                <c:formatCode>General</c:formatCode>
                <c:ptCount val="6"/>
                <c:pt idx="0">
                  <c:v>0.28320000000000001</c:v>
                </c:pt>
                <c:pt idx="1">
                  <c:v>0.32800000000000001</c:v>
                </c:pt>
                <c:pt idx="2">
                  <c:v>0.55199999999999994</c:v>
                </c:pt>
                <c:pt idx="3">
                  <c:v>0.77600000000000002</c:v>
                </c:pt>
                <c:pt idx="4">
                  <c:v>1</c:v>
                </c:pt>
                <c:pt idx="5">
                  <c:v>1.224</c:v>
                </c:pt>
              </c:numCache>
            </c:numRef>
          </c:yVal>
          <c:extLst xmlns:c16r2="http://schemas.microsoft.com/office/drawing/2015/06/chart">
            <c:ext xmlns:c16="http://schemas.microsoft.com/office/drawing/2014/chart" uri="{C3380CC4-5D6E-409C-BE32-E72D297353CC}">
              <c16:uniqueId val="{00000002-EC5F-4068-B35D-F5661813917D}"/>
            </c:ext>
          </c:extLst>
        </c:ser>
        <c:axId val="162194176"/>
        <c:axId val="162195712"/>
      </c:scatterChart>
      <c:valAx>
        <c:axId val="162194176"/>
        <c:scaling>
          <c:orientation val="minMax"/>
        </c:scaling>
        <c:axPos val="b"/>
        <c:majorGridlines/>
        <c:numFmt formatCode="General" sourceLinked="1"/>
        <c:tickLblPos val="nextTo"/>
        <c:crossAx val="162195712"/>
        <c:crosses val="autoZero"/>
        <c:crossBetween val="midCat"/>
      </c:valAx>
      <c:valAx>
        <c:axId val="162195712"/>
        <c:scaling>
          <c:orientation val="minMax"/>
        </c:scaling>
        <c:axPos val="l"/>
        <c:majorGridlines/>
        <c:numFmt formatCode="General" sourceLinked="1"/>
        <c:tickLblPos val="nextTo"/>
        <c:crossAx val="16219417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Převodní  tabulka</a:t>
            </a:r>
          </a:p>
        </c:rich>
      </c:tx>
    </c:title>
    <c:plotArea>
      <c:layout/>
      <c:scatterChart>
        <c:scatterStyle val="lineMarker"/>
        <c:ser>
          <c:idx val="0"/>
          <c:order val="0"/>
          <c:tx>
            <c:strRef>
              <c:f>exponent!$A$10</c:f>
              <c:strCache>
                <c:ptCount val="1"/>
                <c:pt idx="0">
                  <c:v>nas/t4</c:v>
                </c:pt>
              </c:strCache>
            </c:strRef>
          </c:tx>
          <c:xVal>
            <c:numRef>
              <c:f>exponent!$F$2:$K$2</c:f>
              <c:numCache>
                <c:formatCode>General</c:formatCode>
                <c:ptCount val="6"/>
                <c:pt idx="0">
                  <c:v>18</c:v>
                </c:pt>
                <c:pt idx="1">
                  <c:v>20</c:v>
                </c:pt>
                <c:pt idx="2">
                  <c:v>30</c:v>
                </c:pt>
                <c:pt idx="3">
                  <c:v>40</c:v>
                </c:pt>
                <c:pt idx="4">
                  <c:v>50</c:v>
                </c:pt>
                <c:pt idx="5">
                  <c:v>60</c:v>
                </c:pt>
              </c:numCache>
            </c:numRef>
          </c:xVal>
          <c:yVal>
            <c:numRef>
              <c:f>exponent!$F$10:$K$10</c:f>
              <c:numCache>
                <c:formatCode>General</c:formatCode>
                <c:ptCount val="6"/>
                <c:pt idx="0">
                  <c:v>0.99928134226828402</c:v>
                </c:pt>
                <c:pt idx="1">
                  <c:v>1.0000026405545166</c:v>
                </c:pt>
                <c:pt idx="2">
                  <c:v>1.002144956171563</c:v>
                </c:pt>
                <c:pt idx="3">
                  <c:v>1.0020561231602636</c:v>
                </c:pt>
                <c:pt idx="4">
                  <c:v>1</c:v>
                </c:pt>
                <c:pt idx="5">
                  <c:v>0.99621540627877159</c:v>
                </c:pt>
              </c:numCache>
            </c:numRef>
          </c:yVal>
          <c:extLst xmlns:c16r2="http://schemas.microsoft.com/office/drawing/2015/06/chart">
            <c:ext xmlns:c16="http://schemas.microsoft.com/office/drawing/2014/chart" uri="{C3380CC4-5D6E-409C-BE32-E72D297353CC}">
              <c16:uniqueId val="{00000000-207C-488D-9FC9-601191E00919}"/>
            </c:ext>
          </c:extLst>
        </c:ser>
        <c:axId val="162228096"/>
        <c:axId val="162229632"/>
      </c:scatterChart>
      <c:valAx>
        <c:axId val="162228096"/>
        <c:scaling>
          <c:orientation val="minMax"/>
        </c:scaling>
        <c:axPos val="b"/>
        <c:majorGridlines/>
        <c:numFmt formatCode="General" sourceLinked="1"/>
        <c:tickLblPos val="nextTo"/>
        <c:crossAx val="162229632"/>
        <c:crosses val="autoZero"/>
        <c:crossBetween val="midCat"/>
      </c:valAx>
      <c:valAx>
        <c:axId val="162229632"/>
        <c:scaling>
          <c:orientation val="minMax"/>
        </c:scaling>
        <c:axPos val="l"/>
        <c:majorGridlines/>
        <c:numFmt formatCode="General" sourceLinked="1"/>
        <c:tickLblPos val="nextTo"/>
        <c:crossAx val="16222809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průběhy T^4</a:t>
            </a:r>
          </a:p>
        </c:rich>
      </c:tx>
    </c:title>
    <c:plotArea>
      <c:layout/>
      <c:scatterChart>
        <c:scatterStyle val="lineMarker"/>
        <c:ser>
          <c:idx val="0"/>
          <c:order val="0"/>
          <c:tx>
            <c:strRef>
              <c:f>exponent!$H$36</c:f>
              <c:strCache>
                <c:ptCount val="1"/>
              </c:strCache>
            </c:strRef>
          </c:tx>
          <c:marker>
            <c:symbol val="none"/>
          </c:marker>
          <c:xVal>
            <c:numRef>
              <c:f>exponent!$A$37:$A$143</c:f>
              <c:numCache>
                <c:formatCode>h:mm</c:formatCode>
                <c:ptCount val="107"/>
                <c:pt idx="0">
                  <c:v>0</c:v>
                </c:pt>
                <c:pt idx="1">
                  <c:v>1.3888888888888889E-3</c:v>
                </c:pt>
                <c:pt idx="2">
                  <c:v>2.7777777777777779E-3</c:v>
                </c:pt>
                <c:pt idx="3">
                  <c:v>4.1666666666666666E-3</c:v>
                </c:pt>
                <c:pt idx="4">
                  <c:v>5.5555555555555558E-3</c:v>
                </c:pt>
                <c:pt idx="5">
                  <c:v>6.9444444444444449E-3</c:v>
                </c:pt>
                <c:pt idx="6">
                  <c:v>8.3333333333333332E-3</c:v>
                </c:pt>
                <c:pt idx="7">
                  <c:v>9.7222222222222224E-3</c:v>
                </c:pt>
                <c:pt idx="8">
                  <c:v>1.1111111111111112E-2</c:v>
                </c:pt>
                <c:pt idx="9">
                  <c:v>1.2500000000000001E-2</c:v>
                </c:pt>
                <c:pt idx="10">
                  <c:v>1.388888888888889E-2</c:v>
                </c:pt>
                <c:pt idx="11">
                  <c:v>1.5277777777777779E-2</c:v>
                </c:pt>
                <c:pt idx="12">
                  <c:v>1.6666666666666666E-2</c:v>
                </c:pt>
                <c:pt idx="13">
                  <c:v>1.8055555555555554E-2</c:v>
                </c:pt>
                <c:pt idx="14">
                  <c:v>1.9444444444444441E-2</c:v>
                </c:pt>
                <c:pt idx="15">
                  <c:v>2.0833333333333329E-2</c:v>
                </c:pt>
                <c:pt idx="16">
                  <c:v>2.2222222222222216E-2</c:v>
                </c:pt>
                <c:pt idx="17">
                  <c:v>2.3611111111111104E-2</c:v>
                </c:pt>
                <c:pt idx="18">
                  <c:v>2.4999999999999991E-2</c:v>
                </c:pt>
                <c:pt idx="19">
                  <c:v>2.6388888888888878E-2</c:v>
                </c:pt>
                <c:pt idx="20">
                  <c:v>2.7777777777777766E-2</c:v>
                </c:pt>
                <c:pt idx="21">
                  <c:v>2.9166666666666653E-2</c:v>
                </c:pt>
                <c:pt idx="22">
                  <c:v>3.0555555555555541E-2</c:v>
                </c:pt>
                <c:pt idx="23">
                  <c:v>3.1944444444444428E-2</c:v>
                </c:pt>
                <c:pt idx="24">
                  <c:v>3.3333333333333319E-2</c:v>
                </c:pt>
                <c:pt idx="25">
                  <c:v>3.472222222222221E-2</c:v>
                </c:pt>
                <c:pt idx="26">
                  <c:v>3.6111111111111101E-2</c:v>
                </c:pt>
                <c:pt idx="27">
                  <c:v>3.7499999999999992E-2</c:v>
                </c:pt>
                <c:pt idx="28">
                  <c:v>3.8888888888888883E-2</c:v>
                </c:pt>
                <c:pt idx="29">
                  <c:v>4.0277777777777773E-2</c:v>
                </c:pt>
                <c:pt idx="30">
                  <c:v>4.1666666666666664E-2</c:v>
                </c:pt>
                <c:pt idx="31">
                  <c:v>4.3055555555555555E-2</c:v>
                </c:pt>
                <c:pt idx="32">
                  <c:v>4.4444444444444446E-2</c:v>
                </c:pt>
                <c:pt idx="33">
                  <c:v>4.5833333333333337E-2</c:v>
                </c:pt>
                <c:pt idx="34">
                  <c:v>4.7222222222222228E-2</c:v>
                </c:pt>
                <c:pt idx="35">
                  <c:v>4.8611111111111119E-2</c:v>
                </c:pt>
                <c:pt idx="36">
                  <c:v>5.000000000000001E-2</c:v>
                </c:pt>
                <c:pt idx="37">
                  <c:v>5.1388888888888901E-2</c:v>
                </c:pt>
                <c:pt idx="38">
                  <c:v>5.2777777777777792E-2</c:v>
                </c:pt>
                <c:pt idx="39">
                  <c:v>5.4166666666666682E-2</c:v>
                </c:pt>
                <c:pt idx="40">
                  <c:v>5.5555555555555573E-2</c:v>
                </c:pt>
                <c:pt idx="41">
                  <c:v>5.6944444444444464E-2</c:v>
                </c:pt>
                <c:pt idx="42">
                  <c:v>5.8333333333333355E-2</c:v>
                </c:pt>
                <c:pt idx="43">
                  <c:v>5.9722222222222246E-2</c:v>
                </c:pt>
                <c:pt idx="44">
                  <c:v>6.1111111111111137E-2</c:v>
                </c:pt>
                <c:pt idx="45">
                  <c:v>6.2500000000000028E-2</c:v>
                </c:pt>
                <c:pt idx="46">
                  <c:v>6.3888888888888912E-2</c:v>
                </c:pt>
                <c:pt idx="47">
                  <c:v>6.5277777777777796E-2</c:v>
                </c:pt>
                <c:pt idx="48">
                  <c:v>6.666666666666668E-2</c:v>
                </c:pt>
                <c:pt idx="49">
                  <c:v>6.8055555555555564E-2</c:v>
                </c:pt>
                <c:pt idx="50">
                  <c:v>6.9444444444444448E-2</c:v>
                </c:pt>
                <c:pt idx="51">
                  <c:v>7.0833333333333331E-2</c:v>
                </c:pt>
                <c:pt idx="52">
                  <c:v>7.2222222222222215E-2</c:v>
                </c:pt>
                <c:pt idx="53">
                  <c:v>7.3611111111111099E-2</c:v>
                </c:pt>
                <c:pt idx="54">
                  <c:v>7.4999999999999983E-2</c:v>
                </c:pt>
                <c:pt idx="55">
                  <c:v>7.6388888888888867E-2</c:v>
                </c:pt>
                <c:pt idx="56">
                  <c:v>7.7777777777777751E-2</c:v>
                </c:pt>
                <c:pt idx="57">
                  <c:v>7.9166666666666635E-2</c:v>
                </c:pt>
                <c:pt idx="58">
                  <c:v>8.0555555555555519E-2</c:v>
                </c:pt>
                <c:pt idx="59">
                  <c:v>8.1944444444444403E-2</c:v>
                </c:pt>
                <c:pt idx="60">
                  <c:v>8.3333333333333287E-2</c:v>
                </c:pt>
                <c:pt idx="61">
                  <c:v>8.4722222222222171E-2</c:v>
                </c:pt>
                <c:pt idx="62">
                  <c:v>8.6111111111111055E-2</c:v>
                </c:pt>
                <c:pt idx="63">
                  <c:v>8.7499999999999939E-2</c:v>
                </c:pt>
                <c:pt idx="64">
                  <c:v>8.8888888888888823E-2</c:v>
                </c:pt>
                <c:pt idx="65">
                  <c:v>9.0277777777777707E-2</c:v>
                </c:pt>
                <c:pt idx="66">
                  <c:v>9.1666666666666591E-2</c:v>
                </c:pt>
                <c:pt idx="67">
                  <c:v>9.3055555555555475E-2</c:v>
                </c:pt>
                <c:pt idx="68">
                  <c:v>9.4444444444444359E-2</c:v>
                </c:pt>
                <c:pt idx="69">
                  <c:v>9.5833333333333243E-2</c:v>
                </c:pt>
                <c:pt idx="70">
                  <c:v>9.7222222222222127E-2</c:v>
                </c:pt>
                <c:pt idx="71">
                  <c:v>9.8611111111111011E-2</c:v>
                </c:pt>
                <c:pt idx="72">
                  <c:v>9.9999999999999895E-2</c:v>
                </c:pt>
                <c:pt idx="73">
                  <c:v>0.10138888888888878</c:v>
                </c:pt>
                <c:pt idx="74">
                  <c:v>0.10277777777777766</c:v>
                </c:pt>
                <c:pt idx="75">
                  <c:v>0.10416666666666655</c:v>
                </c:pt>
                <c:pt idx="76">
                  <c:v>0.10555555555555543</c:v>
                </c:pt>
                <c:pt idx="77">
                  <c:v>0.10694444444444431</c:v>
                </c:pt>
                <c:pt idx="78">
                  <c:v>0.1083333333333332</c:v>
                </c:pt>
                <c:pt idx="79">
                  <c:v>0.10972222222222208</c:v>
                </c:pt>
                <c:pt idx="80">
                  <c:v>0.11111111111111097</c:v>
                </c:pt>
                <c:pt idx="81">
                  <c:v>0.11249999999999985</c:v>
                </c:pt>
                <c:pt idx="82">
                  <c:v>0.11388888888888873</c:v>
                </c:pt>
                <c:pt idx="83">
                  <c:v>0.11527777777777762</c:v>
                </c:pt>
                <c:pt idx="84">
                  <c:v>0.1166666666666665</c:v>
                </c:pt>
                <c:pt idx="85">
                  <c:v>0.11805555555555539</c:v>
                </c:pt>
                <c:pt idx="86">
                  <c:v>0.11944444444444427</c:v>
                </c:pt>
                <c:pt idx="87">
                  <c:v>0.12083333333333315</c:v>
                </c:pt>
                <c:pt idx="88">
                  <c:v>0.12222222222222204</c:v>
                </c:pt>
                <c:pt idx="89">
                  <c:v>0.12361111111111092</c:v>
                </c:pt>
                <c:pt idx="90">
                  <c:v>0.12499999999999981</c:v>
                </c:pt>
                <c:pt idx="91">
                  <c:v>0.12638888888888869</c:v>
                </c:pt>
                <c:pt idx="92">
                  <c:v>0.12777777777777757</c:v>
                </c:pt>
                <c:pt idx="93">
                  <c:v>0.12916666666666646</c:v>
                </c:pt>
                <c:pt idx="94">
                  <c:v>0.13055555555555534</c:v>
                </c:pt>
                <c:pt idx="95">
                  <c:v>0.13194444444444423</c:v>
                </c:pt>
                <c:pt idx="96">
                  <c:v>0.13333333333333311</c:v>
                </c:pt>
                <c:pt idx="97">
                  <c:v>0.13472222222222199</c:v>
                </c:pt>
                <c:pt idx="98">
                  <c:v>0.13611111111111088</c:v>
                </c:pt>
                <c:pt idx="99">
                  <c:v>0.13749999999999976</c:v>
                </c:pt>
                <c:pt idx="100">
                  <c:v>0.13888888888888865</c:v>
                </c:pt>
                <c:pt idx="101">
                  <c:v>0.14027777777777753</c:v>
                </c:pt>
                <c:pt idx="102">
                  <c:v>0.14166666666666641</c:v>
                </c:pt>
                <c:pt idx="103">
                  <c:v>0.1430555555555553</c:v>
                </c:pt>
                <c:pt idx="104">
                  <c:v>0.14444444444444418</c:v>
                </c:pt>
                <c:pt idx="105">
                  <c:v>0.14583333333333307</c:v>
                </c:pt>
                <c:pt idx="106">
                  <c:v>0.14722222222222195</c:v>
                </c:pt>
              </c:numCache>
            </c:numRef>
          </c:xVal>
          <c:yVal>
            <c:numRef>
              <c:f>exponent!$H$37:$H$143</c:f>
              <c:numCache>
                <c:formatCode>General</c:formatCode>
                <c:ptCount val="107"/>
                <c:pt idx="1">
                  <c:v>1.56</c:v>
                </c:pt>
                <c:pt idx="2">
                  <c:v>1.5209999999999999</c:v>
                </c:pt>
                <c:pt idx="3">
                  <c:v>1.4829749999999999</c:v>
                </c:pt>
                <c:pt idx="4">
                  <c:v>1.4459006249999999</c:v>
                </c:pt>
                <c:pt idx="5">
                  <c:v>1.4097531093749998</c:v>
                </c:pt>
                <c:pt idx="6">
                  <c:v>1.3745092816406248</c:v>
                </c:pt>
                <c:pt idx="7">
                  <c:v>1.3401465495996092</c:v>
                </c:pt>
                <c:pt idx="8">
                  <c:v>1.3066428858596191</c:v>
                </c:pt>
                <c:pt idx="9">
                  <c:v>1.2739768137131287</c:v>
                </c:pt>
                <c:pt idx="10">
                  <c:v>1.2421273933703005</c:v>
                </c:pt>
                <c:pt idx="11">
                  <c:v>1.2110742085360431</c:v>
                </c:pt>
                <c:pt idx="12">
                  <c:v>1.1807973533226419</c:v>
                </c:pt>
                <c:pt idx="13">
                  <c:v>1.1512774194895758</c:v>
                </c:pt>
                <c:pt idx="14">
                  <c:v>1.1224954840023365</c:v>
                </c:pt>
                <c:pt idx="15">
                  <c:v>1.094433096902278</c:v>
                </c:pt>
                <c:pt idx="16">
                  <c:v>1.0670722694797212</c:v>
                </c:pt>
                <c:pt idx="17">
                  <c:v>1.0403954627427283</c:v>
                </c:pt>
                <c:pt idx="18">
                  <c:v>1.01438557617416</c:v>
                </c:pt>
                <c:pt idx="19">
                  <c:v>0.98902593676980588</c:v>
                </c:pt>
                <c:pt idx="20">
                  <c:v>0.96430028835056081</c:v>
                </c:pt>
                <c:pt idx="21">
                  <c:v>0.94019278114179683</c:v>
                </c:pt>
                <c:pt idx="22">
                  <c:v>0.91668796161325194</c:v>
                </c:pt>
                <c:pt idx="23">
                  <c:v>0.89377076257292065</c:v>
                </c:pt>
                <c:pt idx="24">
                  <c:v>0.87142649350859758</c:v>
                </c:pt>
                <c:pt idx="25">
                  <c:v>0.84964083117088263</c:v>
                </c:pt>
                <c:pt idx="26">
                  <c:v>0.82839981039161059</c:v>
                </c:pt>
                <c:pt idx="27">
                  <c:v>0.80768981513182025</c:v>
                </c:pt>
                <c:pt idx="28">
                  <c:v>0.78749756975352481</c:v>
                </c:pt>
                <c:pt idx="29">
                  <c:v>0.76781013050968672</c:v>
                </c:pt>
                <c:pt idx="30">
                  <c:v>0.74861487724694453</c:v>
                </c:pt>
                <c:pt idx="31">
                  <c:v>0.72989950531577097</c:v>
                </c:pt>
                <c:pt idx="32">
                  <c:v>0.71165201768287678</c:v>
                </c:pt>
                <c:pt idx="33">
                  <c:v>0.69386071724080478</c:v>
                </c:pt>
                <c:pt idx="34">
                  <c:v>0.67651419930978463</c:v>
                </c:pt>
                <c:pt idx="35">
                  <c:v>0.65960134432703998</c:v>
                </c:pt>
                <c:pt idx="36">
                  <c:v>0.64311131071886396</c:v>
                </c:pt>
                <c:pt idx="37">
                  <c:v>0.62703352795089229</c:v>
                </c:pt>
                <c:pt idx="38">
                  <c:v>0.61135768975212001</c:v>
                </c:pt>
                <c:pt idx="39">
                  <c:v>0.59607374750831699</c:v>
                </c:pt>
                <c:pt idx="40">
                  <c:v>0.58117190382060901</c:v>
                </c:pt>
                <c:pt idx="41">
                  <c:v>0.56664260622509377</c:v>
                </c:pt>
                <c:pt idx="42">
                  <c:v>0.55247654106946642</c:v>
                </c:pt>
                <c:pt idx="43">
                  <c:v>0.5386646275427297</c:v>
                </c:pt>
                <c:pt idx="44">
                  <c:v>0.52519801185416137</c:v>
                </c:pt>
                <c:pt idx="45">
                  <c:v>0.51206806155780737</c:v>
                </c:pt>
                <c:pt idx="46">
                  <c:v>0.49926636001886221</c:v>
                </c:pt>
                <c:pt idx="47">
                  <c:v>0.48678470101839066</c:v>
                </c:pt>
                <c:pt idx="48">
                  <c:v>0.47461508349293097</c:v>
                </c:pt>
                <c:pt idx="49">
                  <c:v>0.46274970640560764</c:v>
                </c:pt>
                <c:pt idx="50">
                  <c:v>0.45118096374546751</c:v>
                </c:pt>
                <c:pt idx="51">
                  <c:v>0.43990143965183082</c:v>
                </c:pt>
                <c:pt idx="52">
                  <c:v>0.4289039036605351</c:v>
                </c:pt>
                <c:pt idx="53">
                  <c:v>0.41818130606902171</c:v>
                </c:pt>
                <c:pt idx="54">
                  <c:v>0.40772677341729618</c:v>
                </c:pt>
                <c:pt idx="55">
                  <c:v>0.39753360408186383</c:v>
                </c:pt>
                <c:pt idx="56">
                  <c:v>0.38759526397981714</c:v>
                </c:pt>
                <c:pt idx="57">
                  <c:v>0.37790538238032167</c:v>
                </c:pt>
                <c:pt idx="58">
                  <c:v>0.36845774782081364</c:v>
                </c:pt>
                <c:pt idx="59">
                  <c:v>0.35924630412529324</c:v>
                </c:pt>
                <c:pt idx="60">
                  <c:v>0.35026514652216095</c:v>
                </c:pt>
                <c:pt idx="61">
                  <c:v>0.34150851785910691</c:v>
                </c:pt>
                <c:pt idx="62">
                  <c:v>0.3329708049126292</c:v>
                </c:pt>
                <c:pt idx="63">
                  <c:v>0.32464653478981348</c:v>
                </c:pt>
                <c:pt idx="64">
                  <c:v>0.31653037142006807</c:v>
                </c:pt>
                <c:pt idx="65">
                  <c:v>0.30861711213456644</c:v>
                </c:pt>
                <c:pt idx="66">
                  <c:v>0.30090168433120223</c:v>
                </c:pt>
                <c:pt idx="67">
                  <c:v>0.29337914222292227</c:v>
                </c:pt>
                <c:pt idx="68">
                  <c:v>0.28604466366734926</c:v>
                </c:pt>
                <c:pt idx="69">
                  <c:v>0.27889354707566555</c:v>
                </c:pt>
                <c:pt idx="70">
                  <c:v>0.27192120839877387</c:v>
                </c:pt>
                <c:pt idx="71">
                  <c:v>0.2651231781888046</c:v>
                </c:pt>
                <c:pt idx="72">
                  <c:v>0.25849509873408449</c:v>
                </c:pt>
                <c:pt idx="73">
                  <c:v>0.2520327212657324</c:v>
                </c:pt>
                <c:pt idx="74">
                  <c:v>0.24573190323408908</c:v>
                </c:pt>
                <c:pt idx="75">
                  <c:v>0.23958860565323689</c:v>
                </c:pt>
                <c:pt idx="76">
                  <c:v>0.23359889051190599</c:v>
                </c:pt>
                <c:pt idx="77">
                  <c:v>0.22775891824910835</c:v>
                </c:pt>
                <c:pt idx="78">
                  <c:v>0.22206494529288065</c:v>
                </c:pt>
                <c:pt idx="79">
                  <c:v>0.21651332166055867</c:v>
                </c:pt>
                <c:pt idx="80">
                  <c:v>0.21110048861904468</c:v>
                </c:pt>
                <c:pt idx="81">
                  <c:v>0.20582297640356856</c:v>
                </c:pt>
                <c:pt idx="82">
                  <c:v>0.20067740199347939</c:v>
                </c:pt>
                <c:pt idx="83">
                  <c:v>0.19566046694364239</c:v>
                </c:pt>
                <c:pt idx="84">
                  <c:v>0.19076895527005136</c:v>
                </c:pt>
                <c:pt idx="85">
                  <c:v>0.18599973138830009</c:v>
                </c:pt>
                <c:pt idx="86">
                  <c:v>0.18134973810359256</c:v>
                </c:pt>
                <c:pt idx="87">
                  <c:v>0.17681599465100276</c:v>
                </c:pt>
                <c:pt idx="88">
                  <c:v>0.17239559478472771</c:v>
                </c:pt>
                <c:pt idx="89">
                  <c:v>0.16808570491510949</c:v>
                </c:pt>
                <c:pt idx="90">
                  <c:v>0.16388356229223178</c:v>
                </c:pt>
                <c:pt idx="91">
                  <c:v>0.15978647323492595</c:v>
                </c:pt>
                <c:pt idx="92">
                  <c:v>0.15579181140405282</c:v>
                </c:pt>
                <c:pt idx="93">
                  <c:v>0.15189701611895154</c:v>
                </c:pt>
                <c:pt idx="94">
                  <c:v>0.14809959071597775</c:v>
                </c:pt>
                <c:pt idx="95">
                  <c:v>0.14439710094807828</c:v>
                </c:pt>
                <c:pt idx="96">
                  <c:v>0.14078717342437636</c:v>
                </c:pt>
                <c:pt idx="97">
                  <c:v>0.13726749408876693</c:v>
                </c:pt>
                <c:pt idx="98">
                  <c:v>0.13383580673654777</c:v>
                </c:pt>
                <c:pt idx="99">
                  <c:v>0.13048991156813408</c:v>
                </c:pt>
                <c:pt idx="100">
                  <c:v>0.12722766377893074</c:v>
                </c:pt>
                <c:pt idx="101">
                  <c:v>0.12404697218445747</c:v>
                </c:pt>
                <c:pt idx="102">
                  <c:v>0.12094579787984606</c:v>
                </c:pt>
                <c:pt idx="103">
                  <c:v>0.1179221529328499</c:v>
                </c:pt>
                <c:pt idx="104">
                  <c:v>0.11497409910952867</c:v>
                </c:pt>
                <c:pt idx="105">
                  <c:v>0.11209974663179047</c:v>
                </c:pt>
                <c:pt idx="106">
                  <c:v>0.10929725296599571</c:v>
                </c:pt>
              </c:numCache>
            </c:numRef>
          </c:yVal>
          <c:extLst xmlns:c16r2="http://schemas.microsoft.com/office/drawing/2015/06/chart">
            <c:ext xmlns:c16="http://schemas.microsoft.com/office/drawing/2014/chart" uri="{C3380CC4-5D6E-409C-BE32-E72D297353CC}">
              <c16:uniqueId val="{00000000-9BA8-4662-825A-C0A8B28770EF}"/>
            </c:ext>
          </c:extLst>
        </c:ser>
        <c:ser>
          <c:idx val="1"/>
          <c:order val="1"/>
          <c:tx>
            <c:strRef>
              <c:f>exponent!$I$36</c:f>
              <c:strCache>
                <c:ptCount val="1"/>
              </c:strCache>
            </c:strRef>
          </c:tx>
          <c:marker>
            <c:symbol val="none"/>
          </c:marker>
          <c:xVal>
            <c:numRef>
              <c:f>exponent!$A$37:$A$143</c:f>
              <c:numCache>
                <c:formatCode>h:mm</c:formatCode>
                <c:ptCount val="107"/>
                <c:pt idx="0">
                  <c:v>0</c:v>
                </c:pt>
                <c:pt idx="1">
                  <c:v>1.3888888888888889E-3</c:v>
                </c:pt>
                <c:pt idx="2">
                  <c:v>2.7777777777777779E-3</c:v>
                </c:pt>
                <c:pt idx="3">
                  <c:v>4.1666666666666666E-3</c:v>
                </c:pt>
                <c:pt idx="4">
                  <c:v>5.5555555555555558E-3</c:v>
                </c:pt>
                <c:pt idx="5">
                  <c:v>6.9444444444444449E-3</c:v>
                </c:pt>
                <c:pt idx="6">
                  <c:v>8.3333333333333332E-3</c:v>
                </c:pt>
                <c:pt idx="7">
                  <c:v>9.7222222222222224E-3</c:v>
                </c:pt>
                <c:pt idx="8">
                  <c:v>1.1111111111111112E-2</c:v>
                </c:pt>
                <c:pt idx="9">
                  <c:v>1.2500000000000001E-2</c:v>
                </c:pt>
                <c:pt idx="10">
                  <c:v>1.388888888888889E-2</c:v>
                </c:pt>
                <c:pt idx="11">
                  <c:v>1.5277777777777779E-2</c:v>
                </c:pt>
                <c:pt idx="12">
                  <c:v>1.6666666666666666E-2</c:v>
                </c:pt>
                <c:pt idx="13">
                  <c:v>1.8055555555555554E-2</c:v>
                </c:pt>
                <c:pt idx="14">
                  <c:v>1.9444444444444441E-2</c:v>
                </c:pt>
                <c:pt idx="15">
                  <c:v>2.0833333333333329E-2</c:v>
                </c:pt>
                <c:pt idx="16">
                  <c:v>2.2222222222222216E-2</c:v>
                </c:pt>
                <c:pt idx="17">
                  <c:v>2.3611111111111104E-2</c:v>
                </c:pt>
                <c:pt idx="18">
                  <c:v>2.4999999999999991E-2</c:v>
                </c:pt>
                <c:pt idx="19">
                  <c:v>2.6388888888888878E-2</c:v>
                </c:pt>
                <c:pt idx="20">
                  <c:v>2.7777777777777766E-2</c:v>
                </c:pt>
                <c:pt idx="21">
                  <c:v>2.9166666666666653E-2</c:v>
                </c:pt>
                <c:pt idx="22">
                  <c:v>3.0555555555555541E-2</c:v>
                </c:pt>
                <c:pt idx="23">
                  <c:v>3.1944444444444428E-2</c:v>
                </c:pt>
                <c:pt idx="24">
                  <c:v>3.3333333333333319E-2</c:v>
                </c:pt>
                <c:pt idx="25">
                  <c:v>3.472222222222221E-2</c:v>
                </c:pt>
                <c:pt idx="26">
                  <c:v>3.6111111111111101E-2</c:v>
                </c:pt>
                <c:pt idx="27">
                  <c:v>3.7499999999999992E-2</c:v>
                </c:pt>
                <c:pt idx="28">
                  <c:v>3.8888888888888883E-2</c:v>
                </c:pt>
                <c:pt idx="29">
                  <c:v>4.0277777777777773E-2</c:v>
                </c:pt>
                <c:pt idx="30">
                  <c:v>4.1666666666666664E-2</c:v>
                </c:pt>
                <c:pt idx="31">
                  <c:v>4.3055555555555555E-2</c:v>
                </c:pt>
                <c:pt idx="32">
                  <c:v>4.4444444444444446E-2</c:v>
                </c:pt>
                <c:pt idx="33">
                  <c:v>4.5833333333333337E-2</c:v>
                </c:pt>
                <c:pt idx="34">
                  <c:v>4.7222222222222228E-2</c:v>
                </c:pt>
                <c:pt idx="35">
                  <c:v>4.8611111111111119E-2</c:v>
                </c:pt>
                <c:pt idx="36">
                  <c:v>5.000000000000001E-2</c:v>
                </c:pt>
                <c:pt idx="37">
                  <c:v>5.1388888888888901E-2</c:v>
                </c:pt>
                <c:pt idx="38">
                  <c:v>5.2777777777777792E-2</c:v>
                </c:pt>
                <c:pt idx="39">
                  <c:v>5.4166666666666682E-2</c:v>
                </c:pt>
                <c:pt idx="40">
                  <c:v>5.5555555555555573E-2</c:v>
                </c:pt>
                <c:pt idx="41">
                  <c:v>5.6944444444444464E-2</c:v>
                </c:pt>
                <c:pt idx="42">
                  <c:v>5.8333333333333355E-2</c:v>
                </c:pt>
                <c:pt idx="43">
                  <c:v>5.9722222222222246E-2</c:v>
                </c:pt>
                <c:pt idx="44">
                  <c:v>6.1111111111111137E-2</c:v>
                </c:pt>
                <c:pt idx="45">
                  <c:v>6.2500000000000028E-2</c:v>
                </c:pt>
                <c:pt idx="46">
                  <c:v>6.3888888888888912E-2</c:v>
                </c:pt>
                <c:pt idx="47">
                  <c:v>6.5277777777777796E-2</c:v>
                </c:pt>
                <c:pt idx="48">
                  <c:v>6.666666666666668E-2</c:v>
                </c:pt>
                <c:pt idx="49">
                  <c:v>6.8055555555555564E-2</c:v>
                </c:pt>
                <c:pt idx="50">
                  <c:v>6.9444444444444448E-2</c:v>
                </c:pt>
                <c:pt idx="51">
                  <c:v>7.0833333333333331E-2</c:v>
                </c:pt>
                <c:pt idx="52">
                  <c:v>7.2222222222222215E-2</c:v>
                </c:pt>
                <c:pt idx="53">
                  <c:v>7.3611111111111099E-2</c:v>
                </c:pt>
                <c:pt idx="54">
                  <c:v>7.4999999999999983E-2</c:v>
                </c:pt>
                <c:pt idx="55">
                  <c:v>7.6388888888888867E-2</c:v>
                </c:pt>
                <c:pt idx="56">
                  <c:v>7.7777777777777751E-2</c:v>
                </c:pt>
                <c:pt idx="57">
                  <c:v>7.9166666666666635E-2</c:v>
                </c:pt>
                <c:pt idx="58">
                  <c:v>8.0555555555555519E-2</c:v>
                </c:pt>
                <c:pt idx="59">
                  <c:v>8.1944444444444403E-2</c:v>
                </c:pt>
                <c:pt idx="60">
                  <c:v>8.3333333333333287E-2</c:v>
                </c:pt>
                <c:pt idx="61">
                  <c:v>8.4722222222222171E-2</c:v>
                </c:pt>
                <c:pt idx="62">
                  <c:v>8.6111111111111055E-2</c:v>
                </c:pt>
                <c:pt idx="63">
                  <c:v>8.7499999999999939E-2</c:v>
                </c:pt>
                <c:pt idx="64">
                  <c:v>8.8888888888888823E-2</c:v>
                </c:pt>
                <c:pt idx="65">
                  <c:v>9.0277777777777707E-2</c:v>
                </c:pt>
                <c:pt idx="66">
                  <c:v>9.1666666666666591E-2</c:v>
                </c:pt>
                <c:pt idx="67">
                  <c:v>9.3055555555555475E-2</c:v>
                </c:pt>
                <c:pt idx="68">
                  <c:v>9.4444444444444359E-2</c:v>
                </c:pt>
                <c:pt idx="69">
                  <c:v>9.5833333333333243E-2</c:v>
                </c:pt>
                <c:pt idx="70">
                  <c:v>9.7222222222222127E-2</c:v>
                </c:pt>
                <c:pt idx="71">
                  <c:v>9.8611111111111011E-2</c:v>
                </c:pt>
                <c:pt idx="72">
                  <c:v>9.9999999999999895E-2</c:v>
                </c:pt>
                <c:pt idx="73">
                  <c:v>0.10138888888888878</c:v>
                </c:pt>
                <c:pt idx="74">
                  <c:v>0.10277777777777766</c:v>
                </c:pt>
                <c:pt idx="75">
                  <c:v>0.10416666666666655</c:v>
                </c:pt>
                <c:pt idx="76">
                  <c:v>0.10555555555555543</c:v>
                </c:pt>
                <c:pt idx="77">
                  <c:v>0.10694444444444431</c:v>
                </c:pt>
                <c:pt idx="78">
                  <c:v>0.1083333333333332</c:v>
                </c:pt>
                <c:pt idx="79">
                  <c:v>0.10972222222222208</c:v>
                </c:pt>
                <c:pt idx="80">
                  <c:v>0.11111111111111097</c:v>
                </c:pt>
                <c:pt idx="81">
                  <c:v>0.11249999999999985</c:v>
                </c:pt>
                <c:pt idx="82">
                  <c:v>0.11388888888888873</c:v>
                </c:pt>
                <c:pt idx="83">
                  <c:v>0.11527777777777762</c:v>
                </c:pt>
                <c:pt idx="84">
                  <c:v>0.1166666666666665</c:v>
                </c:pt>
                <c:pt idx="85">
                  <c:v>0.11805555555555539</c:v>
                </c:pt>
                <c:pt idx="86">
                  <c:v>0.11944444444444427</c:v>
                </c:pt>
                <c:pt idx="87">
                  <c:v>0.12083333333333315</c:v>
                </c:pt>
                <c:pt idx="88">
                  <c:v>0.12222222222222204</c:v>
                </c:pt>
                <c:pt idx="89">
                  <c:v>0.12361111111111092</c:v>
                </c:pt>
                <c:pt idx="90">
                  <c:v>0.12499999999999981</c:v>
                </c:pt>
                <c:pt idx="91">
                  <c:v>0.12638888888888869</c:v>
                </c:pt>
                <c:pt idx="92">
                  <c:v>0.12777777777777757</c:v>
                </c:pt>
                <c:pt idx="93">
                  <c:v>0.12916666666666646</c:v>
                </c:pt>
                <c:pt idx="94">
                  <c:v>0.13055555555555534</c:v>
                </c:pt>
                <c:pt idx="95">
                  <c:v>0.13194444444444423</c:v>
                </c:pt>
                <c:pt idx="96">
                  <c:v>0.13333333333333311</c:v>
                </c:pt>
                <c:pt idx="97">
                  <c:v>0.13472222222222199</c:v>
                </c:pt>
                <c:pt idx="98">
                  <c:v>0.13611111111111088</c:v>
                </c:pt>
                <c:pt idx="99">
                  <c:v>0.13749999999999976</c:v>
                </c:pt>
                <c:pt idx="100">
                  <c:v>0.13888888888888865</c:v>
                </c:pt>
                <c:pt idx="101">
                  <c:v>0.14027777777777753</c:v>
                </c:pt>
                <c:pt idx="102">
                  <c:v>0.14166666666666641</c:v>
                </c:pt>
                <c:pt idx="103">
                  <c:v>0.1430555555555553</c:v>
                </c:pt>
                <c:pt idx="104">
                  <c:v>0.14444444444444418</c:v>
                </c:pt>
                <c:pt idx="105">
                  <c:v>0.14583333333333307</c:v>
                </c:pt>
                <c:pt idx="106">
                  <c:v>0.14722222222222195</c:v>
                </c:pt>
              </c:numCache>
            </c:numRef>
          </c:xVal>
          <c:yVal>
            <c:numRef>
              <c:f>exponent!$I$37:$I$143</c:f>
              <c:numCache>
                <c:formatCode>General</c:formatCode>
                <c:ptCount val="107"/>
                <c:pt idx="1">
                  <c:v>1.5608465608465609</c:v>
                </c:pt>
                <c:pt idx="2">
                  <c:v>1.5218253968253992</c:v>
                </c:pt>
                <c:pt idx="3">
                  <c:v>1.4837797619047655</c:v>
                </c:pt>
                <c:pt idx="4">
                  <c:v>1.446685267857142</c:v>
                </c:pt>
                <c:pt idx="5">
                  <c:v>1.410518136160716</c:v>
                </c:pt>
                <c:pt idx="6">
                  <c:v>1.3752551827566999</c:v>
                </c:pt>
                <c:pt idx="7">
                  <c:v>1.3408738031877756</c:v>
                </c:pt>
                <c:pt idx="8">
                  <c:v>1.307351958108079</c:v>
                </c:pt>
                <c:pt idx="9">
                  <c:v>1.2746681591553803</c:v>
                </c:pt>
                <c:pt idx="10">
                  <c:v>1.2428014551764943</c:v>
                </c:pt>
                <c:pt idx="11">
                  <c:v>1.2117314187970842</c:v>
                </c:pt>
                <c:pt idx="12">
                  <c:v>1.1814381333271624</c:v>
                </c:pt>
                <c:pt idx="13">
                  <c:v>1.1519021799939833</c:v>
                </c:pt>
                <c:pt idx="14">
                  <c:v>1.123104625494131</c:v>
                </c:pt>
                <c:pt idx="15">
                  <c:v>1.0950270098567718</c:v>
                </c:pt>
                <c:pt idx="16">
                  <c:v>1.0676513346103551</c:v>
                </c:pt>
                <c:pt idx="17">
                  <c:v>1.0409600512450952</c:v>
                </c:pt>
                <c:pt idx="18">
                  <c:v>1.0149360499639739</c:v>
                </c:pt>
                <c:pt idx="19">
                  <c:v>0.98956264871487509</c:v>
                </c:pt>
                <c:pt idx="20">
                  <c:v>0.96482358249699762</c:v>
                </c:pt>
                <c:pt idx="21">
                  <c:v>0.9407029929345716</c:v>
                </c:pt>
                <c:pt idx="22">
                  <c:v>0.91718541811121146</c:v>
                </c:pt>
                <c:pt idx="23">
                  <c:v>0.89425578265843031</c:v>
                </c:pt>
                <c:pt idx="24">
                  <c:v>0.87189938809197065</c:v>
                </c:pt>
                <c:pt idx="25">
                  <c:v>0.85010190338966907</c:v>
                </c:pt>
                <c:pt idx="26">
                  <c:v>0.82884935580492791</c:v>
                </c:pt>
                <c:pt idx="27">
                  <c:v>0.80812812190980798</c:v>
                </c:pt>
                <c:pt idx="28">
                  <c:v>0.78792491886205751</c:v>
                </c:pt>
                <c:pt idx="29">
                  <c:v>0.76822679589051013</c:v>
                </c:pt>
                <c:pt idx="30">
                  <c:v>0.74902112599324389</c:v>
                </c:pt>
                <c:pt idx="31">
                  <c:v>0.73029559784341513</c:v>
                </c:pt>
                <c:pt idx="32">
                  <c:v>0.71203820789732686</c:v>
                </c:pt>
                <c:pt idx="33">
                  <c:v>0.69423725269989678</c:v>
                </c:pt>
                <c:pt idx="34">
                  <c:v>0.67688132138240098</c:v>
                </c:pt>
                <c:pt idx="35">
                  <c:v>0.65995928834784123</c:v>
                </c:pt>
                <c:pt idx="36">
                  <c:v>0.64346030613914373</c:v>
                </c:pt>
                <c:pt idx="37">
                  <c:v>0.62737379848566532</c:v>
                </c:pt>
                <c:pt idx="38">
                  <c:v>0.61168945352352166</c:v>
                </c:pt>
                <c:pt idx="39">
                  <c:v>0.59639721718543726</c:v>
                </c:pt>
                <c:pt idx="40">
                  <c:v>0.58148728675580086</c:v>
                </c:pt>
                <c:pt idx="41">
                  <c:v>0.56695010458690387</c:v>
                </c:pt>
                <c:pt idx="42">
                  <c:v>0.55277635197223074</c:v>
                </c:pt>
                <c:pt idx="43">
                  <c:v>0.53895694317292586</c:v>
                </c:pt>
                <c:pt idx="44">
                  <c:v>0.52548301959360477</c:v>
                </c:pt>
                <c:pt idx="45">
                  <c:v>0.51234594410376155</c:v>
                </c:pt>
                <c:pt idx="46">
                  <c:v>0.49953729550116727</c:v>
                </c:pt>
                <c:pt idx="47">
                  <c:v>0.48704886311363865</c:v>
                </c:pt>
                <c:pt idx="48">
                  <c:v>0.47487264153579517</c:v>
                </c:pt>
                <c:pt idx="49">
                  <c:v>0.46300082549740434</c:v>
                </c:pt>
                <c:pt idx="50">
                  <c:v>0.45142580485996603</c:v>
                </c:pt>
                <c:pt idx="51">
                  <c:v>0.44014015973847009</c:v>
                </c:pt>
                <c:pt idx="52">
                  <c:v>0.42913665574500443</c:v>
                </c:pt>
                <c:pt idx="53">
                  <c:v>0.41840823935138127</c:v>
                </c:pt>
                <c:pt idx="54">
                  <c:v>0.40794803336759727</c:v>
                </c:pt>
                <c:pt idx="55">
                  <c:v>0.39774933253340611</c:v>
                </c:pt>
                <c:pt idx="56">
                  <c:v>0.3878055992200744</c:v>
                </c:pt>
                <c:pt idx="57">
                  <c:v>0.37811045923957171</c:v>
                </c:pt>
                <c:pt idx="58">
                  <c:v>0.36865769775858176</c:v>
                </c:pt>
                <c:pt idx="59">
                  <c:v>0.35944125531461829</c:v>
                </c:pt>
                <c:pt idx="60">
                  <c:v>0.35045522393175049</c:v>
                </c:pt>
                <c:pt idx="61">
                  <c:v>0.34169384333345809</c:v>
                </c:pt>
                <c:pt idx="62">
                  <c:v>0.33315149725012233</c:v>
                </c:pt>
                <c:pt idx="63">
                  <c:v>0.32482270981886679</c:v>
                </c:pt>
                <c:pt idx="64">
                  <c:v>0.31670214207339775</c:v>
                </c:pt>
                <c:pt idx="65">
                  <c:v>0.30878458852155921</c:v>
                </c:pt>
                <c:pt idx="66">
                  <c:v>0.30106497380852287</c:v>
                </c:pt>
                <c:pt idx="67">
                  <c:v>0.29353834946330659</c:v>
                </c:pt>
                <c:pt idx="68">
                  <c:v>0.2861998907267248</c:v>
                </c:pt>
                <c:pt idx="69">
                  <c:v>0.27904489345855776</c:v>
                </c:pt>
                <c:pt idx="70">
                  <c:v>0.27206877112209438</c:v>
                </c:pt>
                <c:pt idx="71">
                  <c:v>0.26526705184403954</c:v>
                </c:pt>
                <c:pt idx="72">
                  <c:v>0.25863537554794075</c:v>
                </c:pt>
                <c:pt idx="73">
                  <c:v>0.25216949115924264</c:v>
                </c:pt>
                <c:pt idx="74">
                  <c:v>0.24586525388026118</c:v>
                </c:pt>
                <c:pt idx="75">
                  <c:v>0.23971862253325352</c:v>
                </c:pt>
                <c:pt idx="76">
                  <c:v>0.2337256569699229</c:v>
                </c:pt>
                <c:pt idx="77">
                  <c:v>0.22788251554567474</c:v>
                </c:pt>
                <c:pt idx="78">
                  <c:v>0.22218545265703371</c:v>
                </c:pt>
                <c:pt idx="79">
                  <c:v>0.21663081634060682</c:v>
                </c:pt>
                <c:pt idx="80">
                  <c:v>0.21121504593209359</c:v>
                </c:pt>
                <c:pt idx="81">
                  <c:v>0.20593466978378994</c:v>
                </c:pt>
                <c:pt idx="82">
                  <c:v>0.20078630303919429</c:v>
                </c:pt>
                <c:pt idx="83">
                  <c:v>0.19576664546321582</c:v>
                </c:pt>
                <c:pt idx="84">
                  <c:v>0.19087247932663451</c:v>
                </c:pt>
                <c:pt idx="85">
                  <c:v>0.18610066734346845</c:v>
                </c:pt>
                <c:pt idx="86">
                  <c:v>0.18144815065988396</c:v>
                </c:pt>
                <c:pt idx="87">
                  <c:v>0.17691194689338463</c:v>
                </c:pt>
                <c:pt idx="88">
                  <c:v>0.17248914822105071</c:v>
                </c:pt>
                <c:pt idx="89">
                  <c:v>0.16817691951552569</c:v>
                </c:pt>
                <c:pt idx="90">
                  <c:v>0.16397249652763576</c:v>
                </c:pt>
                <c:pt idx="91">
                  <c:v>0.15987318411444679</c:v>
                </c:pt>
                <c:pt idx="92">
                  <c:v>0.15587635451158369</c:v>
                </c:pt>
                <c:pt idx="93">
                  <c:v>0.15197944564879395</c:v>
                </c:pt>
                <c:pt idx="94">
                  <c:v>0.14817995950757501</c:v>
                </c:pt>
                <c:pt idx="95">
                  <c:v>0.14447546051988597</c:v>
                </c:pt>
                <c:pt idx="96">
                  <c:v>0.14086357400688793</c:v>
                </c:pt>
                <c:pt idx="97">
                  <c:v>0.13734198465671699</c:v>
                </c:pt>
                <c:pt idx="98">
                  <c:v>0.13390843504029781</c:v>
                </c:pt>
                <c:pt idx="99">
                  <c:v>0.13056072416429085</c:v>
                </c:pt>
                <c:pt idx="100">
                  <c:v>0.12729670606018337</c:v>
                </c:pt>
                <c:pt idx="101">
                  <c:v>0.12411428840867879</c:v>
                </c:pt>
                <c:pt idx="102">
                  <c:v>0.12101143119846092</c:v>
                </c:pt>
                <c:pt idx="103">
                  <c:v>0.1179861454185014</c:v>
                </c:pt>
                <c:pt idx="104">
                  <c:v>0.11503649178303693</c:v>
                </c:pt>
                <c:pt idx="105">
                  <c:v>0.11216057948846204</c:v>
                </c:pt>
                <c:pt idx="106">
                  <c:v>0.10935656500125042</c:v>
                </c:pt>
              </c:numCache>
            </c:numRef>
          </c:yVal>
          <c:extLst xmlns:c16r2="http://schemas.microsoft.com/office/drawing/2015/06/chart">
            <c:ext xmlns:c16="http://schemas.microsoft.com/office/drawing/2014/chart" uri="{C3380CC4-5D6E-409C-BE32-E72D297353CC}">
              <c16:uniqueId val="{00000001-9BA8-4662-825A-C0A8B28770EF}"/>
            </c:ext>
          </c:extLst>
        </c:ser>
        <c:ser>
          <c:idx val="2"/>
          <c:order val="2"/>
          <c:tx>
            <c:strRef>
              <c:f>exponent!$J$36</c:f>
              <c:strCache>
                <c:ptCount val="1"/>
              </c:strCache>
            </c:strRef>
          </c:tx>
          <c:marker>
            <c:symbol val="none"/>
          </c:marker>
          <c:xVal>
            <c:numRef>
              <c:f>exponent!$A$37:$A$143</c:f>
              <c:numCache>
                <c:formatCode>h:mm</c:formatCode>
                <c:ptCount val="107"/>
                <c:pt idx="0">
                  <c:v>0</c:v>
                </c:pt>
                <c:pt idx="1">
                  <c:v>1.3888888888888889E-3</c:v>
                </c:pt>
                <c:pt idx="2">
                  <c:v>2.7777777777777779E-3</c:v>
                </c:pt>
                <c:pt idx="3">
                  <c:v>4.1666666666666666E-3</c:v>
                </c:pt>
                <c:pt idx="4">
                  <c:v>5.5555555555555558E-3</c:v>
                </c:pt>
                <c:pt idx="5">
                  <c:v>6.9444444444444449E-3</c:v>
                </c:pt>
                <c:pt idx="6">
                  <c:v>8.3333333333333332E-3</c:v>
                </c:pt>
                <c:pt idx="7">
                  <c:v>9.7222222222222224E-3</c:v>
                </c:pt>
                <c:pt idx="8">
                  <c:v>1.1111111111111112E-2</c:v>
                </c:pt>
                <c:pt idx="9">
                  <c:v>1.2500000000000001E-2</c:v>
                </c:pt>
                <c:pt idx="10">
                  <c:v>1.388888888888889E-2</c:v>
                </c:pt>
                <c:pt idx="11">
                  <c:v>1.5277777777777779E-2</c:v>
                </c:pt>
                <c:pt idx="12">
                  <c:v>1.6666666666666666E-2</c:v>
                </c:pt>
                <c:pt idx="13">
                  <c:v>1.8055555555555554E-2</c:v>
                </c:pt>
                <c:pt idx="14">
                  <c:v>1.9444444444444441E-2</c:v>
                </c:pt>
                <c:pt idx="15">
                  <c:v>2.0833333333333329E-2</c:v>
                </c:pt>
                <c:pt idx="16">
                  <c:v>2.2222222222222216E-2</c:v>
                </c:pt>
                <c:pt idx="17">
                  <c:v>2.3611111111111104E-2</c:v>
                </c:pt>
                <c:pt idx="18">
                  <c:v>2.4999999999999991E-2</c:v>
                </c:pt>
                <c:pt idx="19">
                  <c:v>2.6388888888888878E-2</c:v>
                </c:pt>
                <c:pt idx="20">
                  <c:v>2.7777777777777766E-2</c:v>
                </c:pt>
                <c:pt idx="21">
                  <c:v>2.9166666666666653E-2</c:v>
                </c:pt>
                <c:pt idx="22">
                  <c:v>3.0555555555555541E-2</c:v>
                </c:pt>
                <c:pt idx="23">
                  <c:v>3.1944444444444428E-2</c:v>
                </c:pt>
                <c:pt idx="24">
                  <c:v>3.3333333333333319E-2</c:v>
                </c:pt>
                <c:pt idx="25">
                  <c:v>3.472222222222221E-2</c:v>
                </c:pt>
                <c:pt idx="26">
                  <c:v>3.6111111111111101E-2</c:v>
                </c:pt>
                <c:pt idx="27">
                  <c:v>3.7499999999999992E-2</c:v>
                </c:pt>
                <c:pt idx="28">
                  <c:v>3.8888888888888883E-2</c:v>
                </c:pt>
                <c:pt idx="29">
                  <c:v>4.0277777777777773E-2</c:v>
                </c:pt>
                <c:pt idx="30">
                  <c:v>4.1666666666666664E-2</c:v>
                </c:pt>
                <c:pt idx="31">
                  <c:v>4.3055555555555555E-2</c:v>
                </c:pt>
                <c:pt idx="32">
                  <c:v>4.4444444444444446E-2</c:v>
                </c:pt>
                <c:pt idx="33">
                  <c:v>4.5833333333333337E-2</c:v>
                </c:pt>
                <c:pt idx="34">
                  <c:v>4.7222222222222228E-2</c:v>
                </c:pt>
                <c:pt idx="35">
                  <c:v>4.8611111111111119E-2</c:v>
                </c:pt>
                <c:pt idx="36">
                  <c:v>5.000000000000001E-2</c:v>
                </c:pt>
                <c:pt idx="37">
                  <c:v>5.1388888888888901E-2</c:v>
                </c:pt>
                <c:pt idx="38">
                  <c:v>5.2777777777777792E-2</c:v>
                </c:pt>
                <c:pt idx="39">
                  <c:v>5.4166666666666682E-2</c:v>
                </c:pt>
                <c:pt idx="40">
                  <c:v>5.5555555555555573E-2</c:v>
                </c:pt>
                <c:pt idx="41">
                  <c:v>5.6944444444444464E-2</c:v>
                </c:pt>
                <c:pt idx="42">
                  <c:v>5.8333333333333355E-2</c:v>
                </c:pt>
                <c:pt idx="43">
                  <c:v>5.9722222222222246E-2</c:v>
                </c:pt>
                <c:pt idx="44">
                  <c:v>6.1111111111111137E-2</c:v>
                </c:pt>
                <c:pt idx="45">
                  <c:v>6.2500000000000028E-2</c:v>
                </c:pt>
                <c:pt idx="46">
                  <c:v>6.3888888888888912E-2</c:v>
                </c:pt>
                <c:pt idx="47">
                  <c:v>6.5277777777777796E-2</c:v>
                </c:pt>
                <c:pt idx="48">
                  <c:v>6.666666666666668E-2</c:v>
                </c:pt>
                <c:pt idx="49">
                  <c:v>6.8055555555555564E-2</c:v>
                </c:pt>
                <c:pt idx="50">
                  <c:v>6.9444444444444448E-2</c:v>
                </c:pt>
                <c:pt idx="51">
                  <c:v>7.0833333333333331E-2</c:v>
                </c:pt>
                <c:pt idx="52">
                  <c:v>7.2222222222222215E-2</c:v>
                </c:pt>
                <c:pt idx="53">
                  <c:v>7.3611111111111099E-2</c:v>
                </c:pt>
                <c:pt idx="54">
                  <c:v>7.4999999999999983E-2</c:v>
                </c:pt>
                <c:pt idx="55">
                  <c:v>7.6388888888888867E-2</c:v>
                </c:pt>
                <c:pt idx="56">
                  <c:v>7.7777777777777751E-2</c:v>
                </c:pt>
                <c:pt idx="57">
                  <c:v>7.9166666666666635E-2</c:v>
                </c:pt>
                <c:pt idx="58">
                  <c:v>8.0555555555555519E-2</c:v>
                </c:pt>
                <c:pt idx="59">
                  <c:v>8.1944444444444403E-2</c:v>
                </c:pt>
                <c:pt idx="60">
                  <c:v>8.3333333333333287E-2</c:v>
                </c:pt>
                <c:pt idx="61">
                  <c:v>8.4722222222222171E-2</c:v>
                </c:pt>
                <c:pt idx="62">
                  <c:v>8.6111111111111055E-2</c:v>
                </c:pt>
                <c:pt idx="63">
                  <c:v>8.7499999999999939E-2</c:v>
                </c:pt>
                <c:pt idx="64">
                  <c:v>8.8888888888888823E-2</c:v>
                </c:pt>
                <c:pt idx="65">
                  <c:v>9.0277777777777707E-2</c:v>
                </c:pt>
                <c:pt idx="66">
                  <c:v>9.1666666666666591E-2</c:v>
                </c:pt>
                <c:pt idx="67">
                  <c:v>9.3055555555555475E-2</c:v>
                </c:pt>
                <c:pt idx="68">
                  <c:v>9.4444444444444359E-2</c:v>
                </c:pt>
                <c:pt idx="69">
                  <c:v>9.5833333333333243E-2</c:v>
                </c:pt>
                <c:pt idx="70">
                  <c:v>9.7222222222222127E-2</c:v>
                </c:pt>
                <c:pt idx="71">
                  <c:v>9.8611111111111011E-2</c:v>
                </c:pt>
                <c:pt idx="72">
                  <c:v>9.9999999999999895E-2</c:v>
                </c:pt>
                <c:pt idx="73">
                  <c:v>0.10138888888888878</c:v>
                </c:pt>
                <c:pt idx="74">
                  <c:v>0.10277777777777766</c:v>
                </c:pt>
                <c:pt idx="75">
                  <c:v>0.10416666666666655</c:v>
                </c:pt>
                <c:pt idx="76">
                  <c:v>0.10555555555555543</c:v>
                </c:pt>
                <c:pt idx="77">
                  <c:v>0.10694444444444431</c:v>
                </c:pt>
                <c:pt idx="78">
                  <c:v>0.1083333333333332</c:v>
                </c:pt>
                <c:pt idx="79">
                  <c:v>0.10972222222222208</c:v>
                </c:pt>
                <c:pt idx="80">
                  <c:v>0.11111111111111097</c:v>
                </c:pt>
                <c:pt idx="81">
                  <c:v>0.11249999999999985</c:v>
                </c:pt>
                <c:pt idx="82">
                  <c:v>0.11388888888888873</c:v>
                </c:pt>
                <c:pt idx="83">
                  <c:v>0.11527777777777762</c:v>
                </c:pt>
                <c:pt idx="84">
                  <c:v>0.1166666666666665</c:v>
                </c:pt>
                <c:pt idx="85">
                  <c:v>0.11805555555555539</c:v>
                </c:pt>
                <c:pt idx="86">
                  <c:v>0.11944444444444427</c:v>
                </c:pt>
                <c:pt idx="87">
                  <c:v>0.12083333333333315</c:v>
                </c:pt>
                <c:pt idx="88">
                  <c:v>0.12222222222222204</c:v>
                </c:pt>
                <c:pt idx="89">
                  <c:v>0.12361111111111092</c:v>
                </c:pt>
                <c:pt idx="90">
                  <c:v>0.12499999999999981</c:v>
                </c:pt>
                <c:pt idx="91">
                  <c:v>0.12638888888888869</c:v>
                </c:pt>
                <c:pt idx="92">
                  <c:v>0.12777777777777757</c:v>
                </c:pt>
                <c:pt idx="93">
                  <c:v>0.12916666666666646</c:v>
                </c:pt>
                <c:pt idx="94">
                  <c:v>0.13055555555555534</c:v>
                </c:pt>
                <c:pt idx="95">
                  <c:v>0.13194444444444423</c:v>
                </c:pt>
                <c:pt idx="96">
                  <c:v>0.13333333333333311</c:v>
                </c:pt>
                <c:pt idx="97">
                  <c:v>0.13472222222222199</c:v>
                </c:pt>
                <c:pt idx="98">
                  <c:v>0.13611111111111088</c:v>
                </c:pt>
                <c:pt idx="99">
                  <c:v>0.13749999999999976</c:v>
                </c:pt>
                <c:pt idx="100">
                  <c:v>0.13888888888888865</c:v>
                </c:pt>
                <c:pt idx="101">
                  <c:v>0.14027777777777753</c:v>
                </c:pt>
                <c:pt idx="102">
                  <c:v>0.14166666666666641</c:v>
                </c:pt>
                <c:pt idx="103">
                  <c:v>0.1430555555555553</c:v>
                </c:pt>
                <c:pt idx="104">
                  <c:v>0.14444444444444418</c:v>
                </c:pt>
                <c:pt idx="105">
                  <c:v>0.14583333333333307</c:v>
                </c:pt>
                <c:pt idx="106">
                  <c:v>0.14722222222222195</c:v>
                </c:pt>
              </c:numCache>
            </c:numRef>
          </c:xVal>
          <c:yVal>
            <c:numRef>
              <c:f>exponent!$J$37:$J$143</c:f>
              <c:numCache>
                <c:formatCode>General</c:formatCode>
                <c:ptCount val="107"/>
                <c:pt idx="1">
                  <c:v>1.782633147622205</c:v>
                </c:pt>
                <c:pt idx="2">
                  <c:v>1.724916109730233</c:v>
                </c:pt>
                <c:pt idx="3">
                  <c:v>1.6690677998305952</c:v>
                </c:pt>
                <c:pt idx="4">
                  <c:v>1.6150277133576216</c:v>
                </c:pt>
                <c:pt idx="5">
                  <c:v>1.5627373047265567</c:v>
                </c:pt>
                <c:pt idx="6">
                  <c:v>1.5121399239068347</c:v>
                </c:pt>
                <c:pt idx="7">
                  <c:v>1.4631807550489524</c:v>
                </c:pt>
                <c:pt idx="8">
                  <c:v>1.4158067570984434</c:v>
                </c:pt>
                <c:pt idx="9">
                  <c:v>1.3699666063326177</c:v>
                </c:pt>
                <c:pt idx="10">
                  <c:v>1.3256106407578134</c:v>
                </c:pt>
                <c:pt idx="11">
                  <c:v>1.2826908063069202</c:v>
                </c:pt>
                <c:pt idx="12">
                  <c:v>1.2411606047788881</c:v>
                </c:pt>
                <c:pt idx="13">
                  <c:v>1.2009750434638196</c:v>
                </c:pt>
                <c:pt idx="14">
                  <c:v>1.1620905863990709</c:v>
                </c:pt>
                <c:pt idx="15">
                  <c:v>1.1244651072035534</c:v>
                </c:pt>
                <c:pt idx="16">
                  <c:v>1.0880578434391406</c:v>
                </c:pt>
                <c:pt idx="17">
                  <c:v>1.0528293524497299</c:v>
                </c:pt>
                <c:pt idx="18">
                  <c:v>1.0187414686301257</c:v>
                </c:pt>
                <c:pt idx="19">
                  <c:v>0.98575726207844228</c:v>
                </c:pt>
                <c:pt idx="20">
                  <c:v>0.95384099858723659</c:v>
                </c:pt>
                <c:pt idx="21">
                  <c:v>0.92295810093002162</c:v>
                </c:pt>
                <c:pt idx="22">
                  <c:v>0.89307511140122497</c:v>
                </c:pt>
                <c:pt idx="23">
                  <c:v>0.86415965556900487</c:v>
                </c:pt>
                <c:pt idx="24">
                  <c:v>0.83618040720165654</c:v>
                </c:pt>
                <c:pt idx="25">
                  <c:v>0.80910705432961028</c:v>
                </c:pt>
                <c:pt idx="26">
                  <c:v>0.78291026640625416</c:v>
                </c:pt>
                <c:pt idx="27">
                  <c:v>0.75756166253200363</c:v>
                </c:pt>
                <c:pt idx="28">
                  <c:v>0.73303378070719472</c:v>
                </c:pt>
                <c:pt idx="29">
                  <c:v>0.70930004808048674</c:v>
                </c:pt>
                <c:pt idx="30">
                  <c:v>0.68633475216054629</c:v>
                </c:pt>
                <c:pt idx="31">
                  <c:v>0.66411301295982172</c:v>
                </c:pt>
                <c:pt idx="32">
                  <c:v>0.64261075604022988</c:v>
                </c:pt>
                <c:pt idx="33">
                  <c:v>0.62180468643155284</c:v>
                </c:pt>
                <c:pt idx="34">
                  <c:v>0.60167226339429114</c:v>
                </c:pt>
                <c:pt idx="35">
                  <c:v>0.58219167599962862</c:v>
                </c:pt>
                <c:pt idx="36">
                  <c:v>0.56334181950005535</c:v>
                </c:pt>
                <c:pt idx="37">
                  <c:v>0.54510227246504872</c:v>
                </c:pt>
                <c:pt idx="38">
                  <c:v>0.52745327465704162</c:v>
                </c:pt>
                <c:pt idx="39">
                  <c:v>0.51037570562370915</c:v>
                </c:pt>
                <c:pt idx="40">
                  <c:v>0.49385106398338185</c:v>
                </c:pt>
                <c:pt idx="41">
                  <c:v>0.47786144738114406</c:v>
                </c:pt>
                <c:pt idx="42">
                  <c:v>0.46238953309390046</c:v>
                </c:pt>
                <c:pt idx="43">
                  <c:v>0.44741855926340163</c:v>
                </c:pt>
                <c:pt idx="44">
                  <c:v>0.43293230673689459</c:v>
                </c:pt>
                <c:pt idx="45">
                  <c:v>0.41891508149572698</c:v>
                </c:pt>
                <c:pt idx="46">
                  <c:v>0.40535169765286611</c:v>
                </c:pt>
                <c:pt idx="47">
                  <c:v>0.39222746100091543</c:v>
                </c:pt>
                <c:pt idx="48">
                  <c:v>0.3795281530928033</c:v>
                </c:pt>
                <c:pt idx="49">
                  <c:v>0.36724001583789695</c:v>
                </c:pt>
                <c:pt idx="50">
                  <c:v>0.35534973659685576</c:v>
                </c:pt>
                <c:pt idx="51">
                  <c:v>0.34384443375907325</c:v>
                </c:pt>
                <c:pt idx="52">
                  <c:v>0.33271164278708482</c:v>
                </c:pt>
                <c:pt idx="53">
                  <c:v>0.32193930271282067</c:v>
                </c:pt>
                <c:pt idx="54">
                  <c:v>0.3115157430710761</c:v>
                </c:pt>
                <c:pt idx="55">
                  <c:v>0.30142967125604142</c:v>
                </c:pt>
                <c:pt idx="56">
                  <c:v>0.29167016028719411</c:v>
                </c:pt>
                <c:pt idx="57">
                  <c:v>0.2822266369713014</c:v>
                </c:pt>
                <c:pt idx="58">
                  <c:v>0.27308887044770452</c:v>
                </c:pt>
                <c:pt idx="59">
                  <c:v>0.26424696110447798</c:v>
                </c:pt>
                <c:pt idx="60">
                  <c:v>0.25569132985345527</c:v>
                </c:pt>
                <c:pt idx="61">
                  <c:v>0.24741270775250004</c:v>
                </c:pt>
                <c:pt idx="62">
                  <c:v>0.23940212596378269</c:v>
                </c:pt>
                <c:pt idx="63">
                  <c:v>0.23165090603718086</c:v>
                </c:pt>
                <c:pt idx="64">
                  <c:v>0.2241506505082787</c:v>
                </c:pt>
                <c:pt idx="65">
                  <c:v>0.21689323380077896</c:v>
                </c:pt>
                <c:pt idx="66">
                  <c:v>0.20987079342346976</c:v>
                </c:pt>
                <c:pt idx="67">
                  <c:v>0.20307572145221325</c:v>
                </c:pt>
                <c:pt idx="68">
                  <c:v>0.19650065628772273</c:v>
                </c:pt>
                <c:pt idx="69">
                  <c:v>0.19013847468020373</c:v>
                </c:pt>
                <c:pt idx="70">
                  <c:v>0.18398228401221497</c:v>
                </c:pt>
                <c:pt idx="71">
                  <c:v>0.17802541483139189</c:v>
                </c:pt>
                <c:pt idx="72">
                  <c:v>0.17226141362493899</c:v>
                </c:pt>
                <c:pt idx="73">
                  <c:v>0.16668403582806748</c:v>
                </c:pt>
                <c:pt idx="74">
                  <c:v>0.16128723905880071</c:v>
                </c:pt>
                <c:pt idx="75">
                  <c:v>0.1560651765718189</c:v>
                </c:pt>
                <c:pt idx="76">
                  <c:v>0.1510121909242515</c:v>
                </c:pt>
                <c:pt idx="77">
                  <c:v>0.14612280784655512</c:v>
                </c:pt>
                <c:pt idx="78">
                  <c:v>0.14139173031183605</c:v>
                </c:pt>
                <c:pt idx="79">
                  <c:v>0.1368138327971932</c:v>
                </c:pt>
                <c:pt idx="80">
                  <c:v>0.13238415573086335</c:v>
                </c:pt>
                <c:pt idx="81">
                  <c:v>0.1280979001191539</c:v>
                </c:pt>
                <c:pt idx="82">
                  <c:v>0.12395042234734145</c:v>
                </c:pt>
                <c:pt idx="83">
                  <c:v>0.11993722914890352</c:v>
                </c:pt>
                <c:pt idx="84">
                  <c:v>0.11605397273763411</c:v>
                </c:pt>
                <c:pt idx="85">
                  <c:v>0.11229644609736802</c:v>
                </c:pt>
                <c:pt idx="86">
                  <c:v>0.10866057842421216</c:v>
                </c:pt>
                <c:pt idx="87">
                  <c:v>0.10514243071634574</c:v>
                </c:pt>
                <c:pt idx="88">
                  <c:v>0.10173819150661048</c:v>
                </c:pt>
                <c:pt idx="89">
                  <c:v>9.8444172733269303E-2</c:v>
                </c:pt>
                <c:pt idx="90">
                  <c:v>9.5256805744459092E-2</c:v>
                </c:pt>
                <c:pt idx="91">
                  <c:v>9.2172637432008112E-2</c:v>
                </c:pt>
                <c:pt idx="92">
                  <c:v>8.9188326490431485E-2</c:v>
                </c:pt>
                <c:pt idx="93">
                  <c:v>8.63006397970498E-2</c:v>
                </c:pt>
                <c:pt idx="94">
                  <c:v>8.3506448909310638E-2</c:v>
                </c:pt>
                <c:pt idx="95">
                  <c:v>8.0802726675517564E-2</c:v>
                </c:pt>
                <c:pt idx="96">
                  <c:v>7.818654395529484E-2</c:v>
                </c:pt>
                <c:pt idx="97">
                  <c:v>7.5655066446235042E-2</c:v>
                </c:pt>
                <c:pt idx="98">
                  <c:v>7.3205551613291772E-2</c:v>
                </c:pt>
                <c:pt idx="99">
                  <c:v>7.0835345717590273E-2</c:v>
                </c:pt>
                <c:pt idx="100">
                  <c:v>6.8541880941437941E-2</c:v>
                </c:pt>
                <c:pt idx="101">
                  <c:v>6.6322672606419136E-2</c:v>
                </c:pt>
                <c:pt idx="102">
                  <c:v>6.4175316481561134E-2</c:v>
                </c:pt>
                <c:pt idx="103">
                  <c:v>6.2097486178654328E-2</c:v>
                </c:pt>
                <c:pt idx="104">
                  <c:v>6.008693063190583E-2</c:v>
                </c:pt>
                <c:pt idx="105">
                  <c:v>5.814147165919465E-2</c:v>
                </c:pt>
                <c:pt idx="106">
                  <c:v>5.6259001602287605E-2</c:v>
                </c:pt>
              </c:numCache>
            </c:numRef>
          </c:yVal>
          <c:extLst xmlns:c16r2="http://schemas.microsoft.com/office/drawing/2015/06/chart">
            <c:ext xmlns:c16="http://schemas.microsoft.com/office/drawing/2014/chart" uri="{C3380CC4-5D6E-409C-BE32-E72D297353CC}">
              <c16:uniqueId val="{00000002-9BA8-4662-825A-C0A8B28770EF}"/>
            </c:ext>
          </c:extLst>
        </c:ser>
        <c:ser>
          <c:idx val="3"/>
          <c:order val="3"/>
          <c:tx>
            <c:strRef>
              <c:f>exponent!$K$36</c:f>
              <c:strCache>
                <c:ptCount val="1"/>
              </c:strCache>
            </c:strRef>
          </c:tx>
          <c:marker>
            <c:symbol val="none"/>
          </c:marker>
          <c:xVal>
            <c:numRef>
              <c:f>exponent!$A$37:$A$143</c:f>
              <c:numCache>
                <c:formatCode>h:mm</c:formatCode>
                <c:ptCount val="107"/>
                <c:pt idx="0">
                  <c:v>0</c:v>
                </c:pt>
                <c:pt idx="1">
                  <c:v>1.3888888888888889E-3</c:v>
                </c:pt>
                <c:pt idx="2">
                  <c:v>2.7777777777777779E-3</c:v>
                </c:pt>
                <c:pt idx="3">
                  <c:v>4.1666666666666666E-3</c:v>
                </c:pt>
                <c:pt idx="4">
                  <c:v>5.5555555555555558E-3</c:v>
                </c:pt>
                <c:pt idx="5">
                  <c:v>6.9444444444444449E-3</c:v>
                </c:pt>
                <c:pt idx="6">
                  <c:v>8.3333333333333332E-3</c:v>
                </c:pt>
                <c:pt idx="7">
                  <c:v>9.7222222222222224E-3</c:v>
                </c:pt>
                <c:pt idx="8">
                  <c:v>1.1111111111111112E-2</c:v>
                </c:pt>
                <c:pt idx="9">
                  <c:v>1.2500000000000001E-2</c:v>
                </c:pt>
                <c:pt idx="10">
                  <c:v>1.388888888888889E-2</c:v>
                </c:pt>
                <c:pt idx="11">
                  <c:v>1.5277777777777779E-2</c:v>
                </c:pt>
                <c:pt idx="12">
                  <c:v>1.6666666666666666E-2</c:v>
                </c:pt>
                <c:pt idx="13">
                  <c:v>1.8055555555555554E-2</c:v>
                </c:pt>
                <c:pt idx="14">
                  <c:v>1.9444444444444441E-2</c:v>
                </c:pt>
                <c:pt idx="15">
                  <c:v>2.0833333333333329E-2</c:v>
                </c:pt>
                <c:pt idx="16">
                  <c:v>2.2222222222222216E-2</c:v>
                </c:pt>
                <c:pt idx="17">
                  <c:v>2.3611111111111104E-2</c:v>
                </c:pt>
                <c:pt idx="18">
                  <c:v>2.4999999999999991E-2</c:v>
                </c:pt>
                <c:pt idx="19">
                  <c:v>2.6388888888888878E-2</c:v>
                </c:pt>
                <c:pt idx="20">
                  <c:v>2.7777777777777766E-2</c:v>
                </c:pt>
                <c:pt idx="21">
                  <c:v>2.9166666666666653E-2</c:v>
                </c:pt>
                <c:pt idx="22">
                  <c:v>3.0555555555555541E-2</c:v>
                </c:pt>
                <c:pt idx="23">
                  <c:v>3.1944444444444428E-2</c:v>
                </c:pt>
                <c:pt idx="24">
                  <c:v>3.3333333333333319E-2</c:v>
                </c:pt>
                <c:pt idx="25">
                  <c:v>3.472222222222221E-2</c:v>
                </c:pt>
                <c:pt idx="26">
                  <c:v>3.6111111111111101E-2</c:v>
                </c:pt>
                <c:pt idx="27">
                  <c:v>3.7499999999999992E-2</c:v>
                </c:pt>
                <c:pt idx="28">
                  <c:v>3.8888888888888883E-2</c:v>
                </c:pt>
                <c:pt idx="29">
                  <c:v>4.0277777777777773E-2</c:v>
                </c:pt>
                <c:pt idx="30">
                  <c:v>4.1666666666666664E-2</c:v>
                </c:pt>
                <c:pt idx="31">
                  <c:v>4.3055555555555555E-2</c:v>
                </c:pt>
                <c:pt idx="32">
                  <c:v>4.4444444444444446E-2</c:v>
                </c:pt>
                <c:pt idx="33">
                  <c:v>4.5833333333333337E-2</c:v>
                </c:pt>
                <c:pt idx="34">
                  <c:v>4.7222222222222228E-2</c:v>
                </c:pt>
                <c:pt idx="35">
                  <c:v>4.8611111111111119E-2</c:v>
                </c:pt>
                <c:pt idx="36">
                  <c:v>5.000000000000001E-2</c:v>
                </c:pt>
                <c:pt idx="37">
                  <c:v>5.1388888888888901E-2</c:v>
                </c:pt>
                <c:pt idx="38">
                  <c:v>5.2777777777777792E-2</c:v>
                </c:pt>
                <c:pt idx="39">
                  <c:v>5.4166666666666682E-2</c:v>
                </c:pt>
                <c:pt idx="40">
                  <c:v>5.5555555555555573E-2</c:v>
                </c:pt>
                <c:pt idx="41">
                  <c:v>5.6944444444444464E-2</c:v>
                </c:pt>
                <c:pt idx="42">
                  <c:v>5.8333333333333355E-2</c:v>
                </c:pt>
                <c:pt idx="43">
                  <c:v>5.9722222222222246E-2</c:v>
                </c:pt>
                <c:pt idx="44">
                  <c:v>6.1111111111111137E-2</c:v>
                </c:pt>
                <c:pt idx="45">
                  <c:v>6.2500000000000028E-2</c:v>
                </c:pt>
                <c:pt idx="46">
                  <c:v>6.3888888888888912E-2</c:v>
                </c:pt>
                <c:pt idx="47">
                  <c:v>6.5277777777777796E-2</c:v>
                </c:pt>
                <c:pt idx="48">
                  <c:v>6.666666666666668E-2</c:v>
                </c:pt>
                <c:pt idx="49">
                  <c:v>6.8055555555555564E-2</c:v>
                </c:pt>
                <c:pt idx="50">
                  <c:v>6.9444444444444448E-2</c:v>
                </c:pt>
                <c:pt idx="51">
                  <c:v>7.0833333333333331E-2</c:v>
                </c:pt>
                <c:pt idx="52">
                  <c:v>7.2222222222222215E-2</c:v>
                </c:pt>
                <c:pt idx="53">
                  <c:v>7.3611111111111099E-2</c:v>
                </c:pt>
                <c:pt idx="54">
                  <c:v>7.4999999999999983E-2</c:v>
                </c:pt>
                <c:pt idx="55">
                  <c:v>7.6388888888888867E-2</c:v>
                </c:pt>
                <c:pt idx="56">
                  <c:v>7.7777777777777751E-2</c:v>
                </c:pt>
                <c:pt idx="57">
                  <c:v>7.9166666666666635E-2</c:v>
                </c:pt>
                <c:pt idx="58">
                  <c:v>8.0555555555555519E-2</c:v>
                </c:pt>
                <c:pt idx="59">
                  <c:v>8.1944444444444403E-2</c:v>
                </c:pt>
                <c:pt idx="60">
                  <c:v>8.3333333333333287E-2</c:v>
                </c:pt>
                <c:pt idx="61">
                  <c:v>8.4722222222222171E-2</c:v>
                </c:pt>
                <c:pt idx="62">
                  <c:v>8.6111111111111055E-2</c:v>
                </c:pt>
                <c:pt idx="63">
                  <c:v>8.7499999999999939E-2</c:v>
                </c:pt>
                <c:pt idx="64">
                  <c:v>8.8888888888888823E-2</c:v>
                </c:pt>
                <c:pt idx="65">
                  <c:v>9.0277777777777707E-2</c:v>
                </c:pt>
                <c:pt idx="66">
                  <c:v>9.1666666666666591E-2</c:v>
                </c:pt>
                <c:pt idx="67">
                  <c:v>9.3055555555555475E-2</c:v>
                </c:pt>
                <c:pt idx="68">
                  <c:v>9.4444444444444359E-2</c:v>
                </c:pt>
                <c:pt idx="69">
                  <c:v>9.5833333333333243E-2</c:v>
                </c:pt>
                <c:pt idx="70">
                  <c:v>9.7222222222222127E-2</c:v>
                </c:pt>
                <c:pt idx="71">
                  <c:v>9.8611111111111011E-2</c:v>
                </c:pt>
                <c:pt idx="72">
                  <c:v>9.9999999999999895E-2</c:v>
                </c:pt>
                <c:pt idx="73">
                  <c:v>0.10138888888888878</c:v>
                </c:pt>
                <c:pt idx="74">
                  <c:v>0.10277777777777766</c:v>
                </c:pt>
                <c:pt idx="75">
                  <c:v>0.10416666666666655</c:v>
                </c:pt>
                <c:pt idx="76">
                  <c:v>0.10555555555555543</c:v>
                </c:pt>
                <c:pt idx="77">
                  <c:v>0.10694444444444431</c:v>
                </c:pt>
                <c:pt idx="78">
                  <c:v>0.1083333333333332</c:v>
                </c:pt>
                <c:pt idx="79">
                  <c:v>0.10972222222222208</c:v>
                </c:pt>
                <c:pt idx="80">
                  <c:v>0.11111111111111097</c:v>
                </c:pt>
                <c:pt idx="81">
                  <c:v>0.11249999999999985</c:v>
                </c:pt>
                <c:pt idx="82">
                  <c:v>0.11388888888888873</c:v>
                </c:pt>
                <c:pt idx="83">
                  <c:v>0.11527777777777762</c:v>
                </c:pt>
                <c:pt idx="84">
                  <c:v>0.1166666666666665</c:v>
                </c:pt>
                <c:pt idx="85">
                  <c:v>0.11805555555555539</c:v>
                </c:pt>
                <c:pt idx="86">
                  <c:v>0.11944444444444427</c:v>
                </c:pt>
                <c:pt idx="87">
                  <c:v>0.12083333333333315</c:v>
                </c:pt>
                <c:pt idx="88">
                  <c:v>0.12222222222222204</c:v>
                </c:pt>
                <c:pt idx="89">
                  <c:v>0.12361111111111092</c:v>
                </c:pt>
                <c:pt idx="90">
                  <c:v>0.12499999999999981</c:v>
                </c:pt>
                <c:pt idx="91">
                  <c:v>0.12638888888888869</c:v>
                </c:pt>
                <c:pt idx="92">
                  <c:v>0.12777777777777757</c:v>
                </c:pt>
                <c:pt idx="93">
                  <c:v>0.12916666666666646</c:v>
                </c:pt>
                <c:pt idx="94">
                  <c:v>0.13055555555555534</c:v>
                </c:pt>
                <c:pt idx="95">
                  <c:v>0.13194444444444423</c:v>
                </c:pt>
                <c:pt idx="96">
                  <c:v>0.13333333333333311</c:v>
                </c:pt>
                <c:pt idx="97">
                  <c:v>0.13472222222222199</c:v>
                </c:pt>
                <c:pt idx="98">
                  <c:v>0.13611111111111088</c:v>
                </c:pt>
                <c:pt idx="99">
                  <c:v>0.13749999999999976</c:v>
                </c:pt>
                <c:pt idx="100">
                  <c:v>0.13888888888888865</c:v>
                </c:pt>
                <c:pt idx="101">
                  <c:v>0.14027777777777753</c:v>
                </c:pt>
                <c:pt idx="102">
                  <c:v>0.14166666666666641</c:v>
                </c:pt>
                <c:pt idx="103">
                  <c:v>0.1430555555555553</c:v>
                </c:pt>
                <c:pt idx="104">
                  <c:v>0.14444444444444418</c:v>
                </c:pt>
                <c:pt idx="105">
                  <c:v>0.14583333333333307</c:v>
                </c:pt>
                <c:pt idx="106">
                  <c:v>0.14722222222222195</c:v>
                </c:pt>
              </c:numCache>
            </c:numRef>
          </c:xVal>
          <c:yVal>
            <c:numRef>
              <c:f>exponent!$K$37:$K$143</c:f>
              <c:numCache>
                <c:formatCode>General</c:formatCode>
                <c:ptCount val="107"/>
                <c:pt idx="1">
                  <c:v>1.1427135561680801</c:v>
                </c:pt>
                <c:pt idx="2">
                  <c:v>1.1340671332874643</c:v>
                </c:pt>
                <c:pt idx="3">
                  <c:v>1.1254861341766349</c:v>
                </c:pt>
                <c:pt idx="4">
                  <c:v>1.1169700638020139</c:v>
                </c:pt>
                <c:pt idx="5">
                  <c:v>1.1085184308757303</c:v>
                </c:pt>
                <c:pt idx="6">
                  <c:v>1.1001307478272777</c:v>
                </c:pt>
                <c:pt idx="7">
                  <c:v>1.0918065307753855</c:v>
                </c:pt>
                <c:pt idx="8">
                  <c:v>1.0835452995001058</c:v>
                </c:pt>
                <c:pt idx="9">
                  <c:v>1.0753465774151081</c:v>
                </c:pt>
                <c:pt idx="10">
                  <c:v>1.0672098915401869</c:v>
                </c:pt>
                <c:pt idx="11">
                  <c:v>1.0591347724739741</c:v>
                </c:pt>
                <c:pt idx="12">
                  <c:v>1.0511207543668608</c:v>
                </c:pt>
                <c:pt idx="13">
                  <c:v>1.0431673748941219</c:v>
                </c:pt>
                <c:pt idx="14">
                  <c:v>1.0352741752292449</c:v>
                </c:pt>
                <c:pt idx="15">
                  <c:v>1.0274407000174604</c:v>
                </c:pt>
                <c:pt idx="16">
                  <c:v>1.0196664973494733</c:v>
                </c:pt>
                <c:pt idx="17">
                  <c:v>1.011951118735392</c:v>
                </c:pt>
                <c:pt idx="18">
                  <c:v>1.0042941190788559</c:v>
                </c:pt>
                <c:pt idx="19">
                  <c:v>0.99669505665135616</c:v>
                </c:pt>
                <c:pt idx="20">
                  <c:v>0.98915349306675526</c:v>
                </c:pt>
                <c:pt idx="21">
                  <c:v>0.98166899325599488</c:v>
                </c:pt>
                <c:pt idx="22">
                  <c:v>0.97424112544199726</c:v>
                </c:pt>
                <c:pt idx="23">
                  <c:v>0.96686946111475658</c:v>
                </c:pt>
                <c:pt idx="24">
                  <c:v>0.95955357500661842</c:v>
                </c:pt>
                <c:pt idx="25">
                  <c:v>0.9522930450677457</c:v>
                </c:pt>
                <c:pt idx="26">
                  <c:v>0.94508745244177195</c:v>
                </c:pt>
                <c:pt idx="27">
                  <c:v>0.93793638144163627</c:v>
                </c:pt>
                <c:pt idx="28">
                  <c:v>0.93083941952560378</c:v>
                </c:pt>
                <c:pt idx="29">
                  <c:v>0.92379615727346565</c:v>
                </c:pt>
                <c:pt idx="30">
                  <c:v>0.91680618836291972</c:v>
                </c:pt>
                <c:pt idx="31">
                  <c:v>0.90986910954613054</c:v>
                </c:pt>
                <c:pt idx="32">
                  <c:v>0.90298452062646617</c:v>
                </c:pt>
                <c:pt idx="33">
                  <c:v>0.89615202443541009</c:v>
                </c:pt>
                <c:pt idx="34">
                  <c:v>0.88937122680964986</c:v>
                </c:pt>
                <c:pt idx="35">
                  <c:v>0.88264173656833766</c:v>
                </c:pt>
                <c:pt idx="36">
                  <c:v>0.87596316549052289</c:v>
                </c:pt>
                <c:pt idx="37">
                  <c:v>0.86933512829275661</c:v>
                </c:pt>
                <c:pt idx="38">
                  <c:v>0.86275724260686382</c:v>
                </c:pt>
                <c:pt idx="39">
                  <c:v>0.85622912895788605</c:v>
                </c:pt>
                <c:pt idx="40">
                  <c:v>0.84975041074218793</c:v>
                </c:pt>
                <c:pt idx="41">
                  <c:v>0.84332071420573307</c:v>
                </c:pt>
                <c:pt idx="42">
                  <c:v>0.83693966842252088</c:v>
                </c:pt>
                <c:pt idx="43">
                  <c:v>0.83060690527318881</c:v>
                </c:pt>
                <c:pt idx="44">
                  <c:v>0.82432205942377512</c:v>
                </c:pt>
                <c:pt idx="45">
                  <c:v>0.81808476830464394</c:v>
                </c:pt>
                <c:pt idx="46">
                  <c:v>0.81189467208956756</c:v>
                </c:pt>
                <c:pt idx="47">
                  <c:v>0.80575141367496905</c:v>
                </c:pt>
                <c:pt idx="48">
                  <c:v>0.79965463865932129</c:v>
                </c:pt>
                <c:pt idx="49">
                  <c:v>0.79360399532270065</c:v>
                </c:pt>
                <c:pt idx="50">
                  <c:v>0.78759913460649755</c:v>
                </c:pt>
                <c:pt idx="51">
                  <c:v>0.78163971009327937</c:v>
                </c:pt>
                <c:pt idx="52">
                  <c:v>0.77572537798680508</c:v>
                </c:pt>
                <c:pt idx="53">
                  <c:v>0.7698557970921921</c:v>
                </c:pt>
                <c:pt idx="54">
                  <c:v>0.76403062879623318</c:v>
                </c:pt>
                <c:pt idx="55">
                  <c:v>0.75824953704786224</c:v>
                </c:pt>
                <c:pt idx="56">
                  <c:v>0.75251218833876665</c:v>
                </c:pt>
                <c:pt idx="57">
                  <c:v>0.74681825168414839</c:v>
                </c:pt>
                <c:pt idx="58">
                  <c:v>0.74116739860362935</c:v>
                </c:pt>
                <c:pt idx="59">
                  <c:v>0.735559303102301</c:v>
                </c:pt>
                <c:pt idx="60">
                  <c:v>0.72999364165191905</c:v>
                </c:pt>
                <c:pt idx="61">
                  <c:v>0.72447009317223787</c:v>
                </c:pt>
                <c:pt idx="62">
                  <c:v>0.71898833901248871</c:v>
                </c:pt>
                <c:pt idx="63">
                  <c:v>0.71354806293299589</c:v>
                </c:pt>
                <c:pt idx="64">
                  <c:v>0.70814895108693354</c:v>
                </c:pt>
                <c:pt idx="65">
                  <c:v>0.70279069200222088</c:v>
                </c:pt>
                <c:pt idx="66">
                  <c:v>0.69747297656355145</c:v>
                </c:pt>
                <c:pt idx="67">
                  <c:v>0.69219549799456248</c:v>
                </c:pt>
                <c:pt idx="68">
                  <c:v>0.68695795184013575</c:v>
                </c:pt>
                <c:pt idx="69">
                  <c:v>0.68176003594883461</c:v>
                </c:pt>
                <c:pt idx="70">
                  <c:v>0.6766014504554716</c:v>
                </c:pt>
                <c:pt idx="71">
                  <c:v>0.6714818977638124</c:v>
                </c:pt>
                <c:pt idx="72">
                  <c:v>0.66640108252940367</c:v>
                </c:pt>
                <c:pt idx="73">
                  <c:v>0.66135871164253723</c:v>
                </c:pt>
                <c:pt idx="74">
                  <c:v>0.65635449421134096</c:v>
                </c:pt>
                <c:pt idx="75">
                  <c:v>0.65138814154499602</c:v>
                </c:pt>
                <c:pt idx="76">
                  <c:v>0.64645936713708307</c:v>
                </c:pt>
                <c:pt idx="77">
                  <c:v>0.64156788664905406</c:v>
                </c:pt>
                <c:pt idx="78">
                  <c:v>0.6367134178938284</c:v>
                </c:pt>
                <c:pt idx="79">
                  <c:v>0.63189568081951419</c:v>
                </c:pt>
                <c:pt idx="80">
                  <c:v>0.62711439749325215</c:v>
                </c:pt>
                <c:pt idx="81">
                  <c:v>0.6223692920851811</c:v>
                </c:pt>
                <c:pt idx="82">
                  <c:v>0.61766009085252649</c:v>
                </c:pt>
                <c:pt idx="83">
                  <c:v>0.61298652212380733</c:v>
                </c:pt>
                <c:pt idx="84">
                  <c:v>0.60834831628316477</c:v>
                </c:pt>
                <c:pt idx="85">
                  <c:v>0.60374520575480672</c:v>
                </c:pt>
                <c:pt idx="86">
                  <c:v>0.59917692498757225</c:v>
                </c:pt>
                <c:pt idx="87">
                  <c:v>0.5946432104396131</c:v>
                </c:pt>
                <c:pt idx="88">
                  <c:v>0.59014380056318771</c:v>
                </c:pt>
                <c:pt idx="89">
                  <c:v>0.58567843578957435</c:v>
                </c:pt>
                <c:pt idx="90">
                  <c:v>0.5812468585140973</c:v>
                </c:pt>
                <c:pt idx="91">
                  <c:v>0.57684881308126346</c:v>
                </c:pt>
                <c:pt idx="92">
                  <c:v>0.5724840457700161</c:v>
                </c:pt>
                <c:pt idx="93">
                  <c:v>0.56815230477909595</c:v>
                </c:pt>
                <c:pt idx="94">
                  <c:v>0.56385334021251643</c:v>
                </c:pt>
                <c:pt idx="95">
                  <c:v>0.55958690406514655</c:v>
                </c:pt>
                <c:pt idx="96">
                  <c:v>0.55535275020840336</c:v>
                </c:pt>
                <c:pt idx="97">
                  <c:v>0.55115063437605327</c:v>
                </c:pt>
                <c:pt idx="98">
                  <c:v>0.54698031415012094</c:v>
                </c:pt>
                <c:pt idx="99">
                  <c:v>0.54284154894690273</c:v>
                </c:pt>
                <c:pt idx="100">
                  <c:v>0.53873410000308963</c:v>
                </c:pt>
                <c:pt idx="101">
                  <c:v>0.5346577303619916</c:v>
                </c:pt>
                <c:pt idx="102">
                  <c:v>0.53061220485986849</c:v>
                </c:pt>
                <c:pt idx="103">
                  <c:v>0.52659729011236245</c:v>
                </c:pt>
                <c:pt idx="104">
                  <c:v>0.5226127545010355</c:v>
                </c:pt>
                <c:pt idx="105">
                  <c:v>0.51865836816000666</c:v>
                </c:pt>
                <c:pt idx="106">
                  <c:v>0.51473390296269173</c:v>
                </c:pt>
              </c:numCache>
            </c:numRef>
          </c:yVal>
          <c:extLst xmlns:c16r2="http://schemas.microsoft.com/office/drawing/2015/06/chart">
            <c:ext xmlns:c16="http://schemas.microsoft.com/office/drawing/2014/chart" uri="{C3380CC4-5D6E-409C-BE32-E72D297353CC}">
              <c16:uniqueId val="{00000003-9BA8-4662-825A-C0A8B28770EF}"/>
            </c:ext>
          </c:extLst>
        </c:ser>
        <c:ser>
          <c:idx val="4"/>
          <c:order val="4"/>
          <c:tx>
            <c:strRef>
              <c:f>exponent!$L$36</c:f>
              <c:strCache>
                <c:ptCount val="1"/>
              </c:strCache>
            </c:strRef>
          </c:tx>
          <c:marker>
            <c:symbol val="none"/>
          </c:marker>
          <c:xVal>
            <c:numRef>
              <c:f>exponent!$A$37:$A$143</c:f>
              <c:numCache>
                <c:formatCode>h:mm</c:formatCode>
                <c:ptCount val="107"/>
                <c:pt idx="0">
                  <c:v>0</c:v>
                </c:pt>
                <c:pt idx="1">
                  <c:v>1.3888888888888889E-3</c:v>
                </c:pt>
                <c:pt idx="2">
                  <c:v>2.7777777777777779E-3</c:v>
                </c:pt>
                <c:pt idx="3">
                  <c:v>4.1666666666666666E-3</c:v>
                </c:pt>
                <c:pt idx="4">
                  <c:v>5.5555555555555558E-3</c:v>
                </c:pt>
                <c:pt idx="5">
                  <c:v>6.9444444444444449E-3</c:v>
                </c:pt>
                <c:pt idx="6">
                  <c:v>8.3333333333333332E-3</c:v>
                </c:pt>
                <c:pt idx="7">
                  <c:v>9.7222222222222224E-3</c:v>
                </c:pt>
                <c:pt idx="8">
                  <c:v>1.1111111111111112E-2</c:v>
                </c:pt>
                <c:pt idx="9">
                  <c:v>1.2500000000000001E-2</c:v>
                </c:pt>
                <c:pt idx="10">
                  <c:v>1.388888888888889E-2</c:v>
                </c:pt>
                <c:pt idx="11">
                  <c:v>1.5277777777777779E-2</c:v>
                </c:pt>
                <c:pt idx="12">
                  <c:v>1.6666666666666666E-2</c:v>
                </c:pt>
                <c:pt idx="13">
                  <c:v>1.8055555555555554E-2</c:v>
                </c:pt>
                <c:pt idx="14">
                  <c:v>1.9444444444444441E-2</c:v>
                </c:pt>
                <c:pt idx="15">
                  <c:v>2.0833333333333329E-2</c:v>
                </c:pt>
                <c:pt idx="16">
                  <c:v>2.2222222222222216E-2</c:v>
                </c:pt>
                <c:pt idx="17">
                  <c:v>2.3611111111111104E-2</c:v>
                </c:pt>
                <c:pt idx="18">
                  <c:v>2.4999999999999991E-2</c:v>
                </c:pt>
                <c:pt idx="19">
                  <c:v>2.6388888888888878E-2</c:v>
                </c:pt>
                <c:pt idx="20">
                  <c:v>2.7777777777777766E-2</c:v>
                </c:pt>
                <c:pt idx="21">
                  <c:v>2.9166666666666653E-2</c:v>
                </c:pt>
                <c:pt idx="22">
                  <c:v>3.0555555555555541E-2</c:v>
                </c:pt>
                <c:pt idx="23">
                  <c:v>3.1944444444444428E-2</c:v>
                </c:pt>
                <c:pt idx="24">
                  <c:v>3.3333333333333319E-2</c:v>
                </c:pt>
                <c:pt idx="25">
                  <c:v>3.472222222222221E-2</c:v>
                </c:pt>
                <c:pt idx="26">
                  <c:v>3.6111111111111101E-2</c:v>
                </c:pt>
                <c:pt idx="27">
                  <c:v>3.7499999999999992E-2</c:v>
                </c:pt>
                <c:pt idx="28">
                  <c:v>3.8888888888888883E-2</c:v>
                </c:pt>
                <c:pt idx="29">
                  <c:v>4.0277777777777773E-2</c:v>
                </c:pt>
                <c:pt idx="30">
                  <c:v>4.1666666666666664E-2</c:v>
                </c:pt>
                <c:pt idx="31">
                  <c:v>4.3055555555555555E-2</c:v>
                </c:pt>
                <c:pt idx="32">
                  <c:v>4.4444444444444446E-2</c:v>
                </c:pt>
                <c:pt idx="33">
                  <c:v>4.5833333333333337E-2</c:v>
                </c:pt>
                <c:pt idx="34">
                  <c:v>4.7222222222222228E-2</c:v>
                </c:pt>
                <c:pt idx="35">
                  <c:v>4.8611111111111119E-2</c:v>
                </c:pt>
                <c:pt idx="36">
                  <c:v>5.000000000000001E-2</c:v>
                </c:pt>
                <c:pt idx="37">
                  <c:v>5.1388888888888901E-2</c:v>
                </c:pt>
                <c:pt idx="38">
                  <c:v>5.2777777777777792E-2</c:v>
                </c:pt>
                <c:pt idx="39">
                  <c:v>5.4166666666666682E-2</c:v>
                </c:pt>
                <c:pt idx="40">
                  <c:v>5.5555555555555573E-2</c:v>
                </c:pt>
                <c:pt idx="41">
                  <c:v>5.6944444444444464E-2</c:v>
                </c:pt>
                <c:pt idx="42">
                  <c:v>5.8333333333333355E-2</c:v>
                </c:pt>
                <c:pt idx="43">
                  <c:v>5.9722222222222246E-2</c:v>
                </c:pt>
                <c:pt idx="44">
                  <c:v>6.1111111111111137E-2</c:v>
                </c:pt>
                <c:pt idx="45">
                  <c:v>6.2500000000000028E-2</c:v>
                </c:pt>
                <c:pt idx="46">
                  <c:v>6.3888888888888912E-2</c:v>
                </c:pt>
                <c:pt idx="47">
                  <c:v>6.5277777777777796E-2</c:v>
                </c:pt>
                <c:pt idx="48">
                  <c:v>6.666666666666668E-2</c:v>
                </c:pt>
                <c:pt idx="49">
                  <c:v>6.8055555555555564E-2</c:v>
                </c:pt>
                <c:pt idx="50">
                  <c:v>6.9444444444444448E-2</c:v>
                </c:pt>
                <c:pt idx="51">
                  <c:v>7.0833333333333331E-2</c:v>
                </c:pt>
                <c:pt idx="52">
                  <c:v>7.2222222222222215E-2</c:v>
                </c:pt>
                <c:pt idx="53">
                  <c:v>7.3611111111111099E-2</c:v>
                </c:pt>
                <c:pt idx="54">
                  <c:v>7.4999999999999983E-2</c:v>
                </c:pt>
                <c:pt idx="55">
                  <c:v>7.6388888888888867E-2</c:v>
                </c:pt>
                <c:pt idx="56">
                  <c:v>7.7777777777777751E-2</c:v>
                </c:pt>
                <c:pt idx="57">
                  <c:v>7.9166666666666635E-2</c:v>
                </c:pt>
                <c:pt idx="58">
                  <c:v>8.0555555555555519E-2</c:v>
                </c:pt>
                <c:pt idx="59">
                  <c:v>8.1944444444444403E-2</c:v>
                </c:pt>
                <c:pt idx="60">
                  <c:v>8.3333333333333287E-2</c:v>
                </c:pt>
                <c:pt idx="61">
                  <c:v>8.4722222222222171E-2</c:v>
                </c:pt>
                <c:pt idx="62">
                  <c:v>8.6111111111111055E-2</c:v>
                </c:pt>
                <c:pt idx="63">
                  <c:v>8.7499999999999939E-2</c:v>
                </c:pt>
                <c:pt idx="64">
                  <c:v>8.8888888888888823E-2</c:v>
                </c:pt>
                <c:pt idx="65">
                  <c:v>9.0277777777777707E-2</c:v>
                </c:pt>
                <c:pt idx="66">
                  <c:v>9.1666666666666591E-2</c:v>
                </c:pt>
                <c:pt idx="67">
                  <c:v>9.3055555555555475E-2</c:v>
                </c:pt>
                <c:pt idx="68">
                  <c:v>9.4444444444444359E-2</c:v>
                </c:pt>
                <c:pt idx="69">
                  <c:v>9.5833333333333243E-2</c:v>
                </c:pt>
                <c:pt idx="70">
                  <c:v>9.7222222222222127E-2</c:v>
                </c:pt>
                <c:pt idx="71">
                  <c:v>9.8611111111111011E-2</c:v>
                </c:pt>
                <c:pt idx="72">
                  <c:v>9.9999999999999895E-2</c:v>
                </c:pt>
                <c:pt idx="73">
                  <c:v>0.10138888888888878</c:v>
                </c:pt>
                <c:pt idx="74">
                  <c:v>0.10277777777777766</c:v>
                </c:pt>
                <c:pt idx="75">
                  <c:v>0.10416666666666655</c:v>
                </c:pt>
                <c:pt idx="76">
                  <c:v>0.10555555555555543</c:v>
                </c:pt>
                <c:pt idx="77">
                  <c:v>0.10694444444444431</c:v>
                </c:pt>
                <c:pt idx="78">
                  <c:v>0.1083333333333332</c:v>
                </c:pt>
                <c:pt idx="79">
                  <c:v>0.10972222222222208</c:v>
                </c:pt>
                <c:pt idx="80">
                  <c:v>0.11111111111111097</c:v>
                </c:pt>
                <c:pt idx="81">
                  <c:v>0.11249999999999985</c:v>
                </c:pt>
                <c:pt idx="82">
                  <c:v>0.11388888888888873</c:v>
                </c:pt>
                <c:pt idx="83">
                  <c:v>0.11527777777777762</c:v>
                </c:pt>
                <c:pt idx="84">
                  <c:v>0.1166666666666665</c:v>
                </c:pt>
                <c:pt idx="85">
                  <c:v>0.11805555555555539</c:v>
                </c:pt>
                <c:pt idx="86">
                  <c:v>0.11944444444444427</c:v>
                </c:pt>
                <c:pt idx="87">
                  <c:v>0.12083333333333315</c:v>
                </c:pt>
                <c:pt idx="88">
                  <c:v>0.12222222222222204</c:v>
                </c:pt>
                <c:pt idx="89">
                  <c:v>0.12361111111111092</c:v>
                </c:pt>
                <c:pt idx="90">
                  <c:v>0.12499999999999981</c:v>
                </c:pt>
                <c:pt idx="91">
                  <c:v>0.12638888888888869</c:v>
                </c:pt>
                <c:pt idx="92">
                  <c:v>0.12777777777777757</c:v>
                </c:pt>
                <c:pt idx="93">
                  <c:v>0.12916666666666646</c:v>
                </c:pt>
                <c:pt idx="94">
                  <c:v>0.13055555555555534</c:v>
                </c:pt>
                <c:pt idx="95">
                  <c:v>0.13194444444444423</c:v>
                </c:pt>
                <c:pt idx="96">
                  <c:v>0.13333333333333311</c:v>
                </c:pt>
                <c:pt idx="97">
                  <c:v>0.13472222222222199</c:v>
                </c:pt>
                <c:pt idx="98">
                  <c:v>0.13611111111111088</c:v>
                </c:pt>
                <c:pt idx="99">
                  <c:v>0.13749999999999976</c:v>
                </c:pt>
                <c:pt idx="100">
                  <c:v>0.13888888888888865</c:v>
                </c:pt>
                <c:pt idx="101">
                  <c:v>0.14027777777777753</c:v>
                </c:pt>
                <c:pt idx="102">
                  <c:v>0.14166666666666641</c:v>
                </c:pt>
                <c:pt idx="103">
                  <c:v>0.1430555555555553</c:v>
                </c:pt>
                <c:pt idx="104">
                  <c:v>0.14444444444444418</c:v>
                </c:pt>
                <c:pt idx="105">
                  <c:v>0.14583333333333307</c:v>
                </c:pt>
                <c:pt idx="106">
                  <c:v>0.14722222222222195</c:v>
                </c:pt>
              </c:numCache>
            </c:numRef>
          </c:xVal>
          <c:yVal>
            <c:numRef>
              <c:f>exponent!$L$37:$L$143</c:f>
              <c:numCache>
                <c:formatCode>General</c:formatCode>
                <c:ptCount val="107"/>
                <c:pt idx="1">
                  <c:v>1.1681487577735996</c:v>
                </c:pt>
                <c:pt idx="2">
                  <c:v>1.1565901237603429</c:v>
                </c:pt>
                <c:pt idx="3">
                  <c:v>1.1453168734377053</c:v>
                </c:pt>
                <c:pt idx="4">
                  <c:v>1.1343219606572605</c:v>
                </c:pt>
                <c:pt idx="5">
                  <c:v>1.1235985132406059</c:v>
                </c:pt>
                <c:pt idx="6">
                  <c:v>1.1131398286840277</c:v>
                </c:pt>
                <c:pt idx="7">
                  <c:v>1.1029393699692196</c:v>
                </c:pt>
                <c:pt idx="8">
                  <c:v>1.0929907614774312</c:v>
                </c:pt>
                <c:pt idx="9">
                  <c:v>1.0832877850045011</c:v>
                </c:pt>
                <c:pt idx="10">
                  <c:v>1.0738243758742743</c:v>
                </c:pt>
                <c:pt idx="11">
                  <c:v>1.0645946191479849</c:v>
                </c:pt>
                <c:pt idx="12">
                  <c:v>1.0555927459272245</c:v>
                </c:pt>
                <c:pt idx="13">
                  <c:v>1.0468131297481946</c:v>
                </c:pt>
                <c:pt idx="14">
                  <c:v>1.0382502830649825</c:v>
                </c:pt>
                <c:pt idx="15">
                  <c:v>1.0298988538196667</c:v>
                </c:pt>
                <c:pt idx="16">
                  <c:v>1.0217536220971069</c:v>
                </c:pt>
                <c:pt idx="17">
                  <c:v>1.0138094968623268</c:v>
                </c:pt>
                <c:pt idx="18">
                  <c:v>1.0060615127784511</c:v>
                </c:pt>
                <c:pt idx="19">
                  <c:v>0.99850482710320965</c:v>
                </c:pt>
                <c:pt idx="20">
                  <c:v>0.9911347166620641</c:v>
                </c:pt>
                <c:pt idx="21">
                  <c:v>0.98394657489607129</c:v>
                </c:pt>
                <c:pt idx="22">
                  <c:v>0.97693590898263372</c:v>
                </c:pt>
                <c:pt idx="23">
                  <c:v>0.97009833702733872</c:v>
                </c:pt>
                <c:pt idx="24">
                  <c:v>0.96342958532513279</c:v>
                </c:pt>
                <c:pt idx="25">
                  <c:v>0.9569254856891154</c:v>
                </c:pt>
                <c:pt idx="26">
                  <c:v>0.95058197284528778</c:v>
                </c:pt>
                <c:pt idx="27">
                  <c:v>0.94439508189162358</c:v>
                </c:pt>
                <c:pt idx="28">
                  <c:v>0.93836094581987661</c:v>
                </c:pt>
                <c:pt idx="29">
                  <c:v>0.93247579309857398</c:v>
                </c:pt>
                <c:pt idx="30">
                  <c:v>0.92673594531568704</c:v>
                </c:pt>
                <c:pt idx="31">
                  <c:v>0.92113781487950352</c:v>
                </c:pt>
                <c:pt idx="32">
                  <c:v>0.91567790277626637</c:v>
                </c:pt>
                <c:pt idx="33">
                  <c:v>0.91035279638317557</c:v>
                </c:pt>
                <c:pt idx="34">
                  <c:v>0.90515916733538881</c:v>
                </c:pt>
                <c:pt idx="35">
                  <c:v>0.90009376944568398</c:v>
                </c:pt>
                <c:pt idx="36">
                  <c:v>0.89515343667548752</c:v>
                </c:pt>
                <c:pt idx="37">
                  <c:v>0.89033508115599658</c:v>
                </c:pt>
                <c:pt idx="38">
                  <c:v>0.88563569125816055</c:v>
                </c:pt>
                <c:pt idx="39">
                  <c:v>0.88105232971031522</c:v>
                </c:pt>
                <c:pt idx="40">
                  <c:v>0.87658213176229227</c:v>
                </c:pt>
                <c:pt idx="41">
                  <c:v>0.87222230339485662</c:v>
                </c:pt>
                <c:pt idx="42">
                  <c:v>0.86797011957335446</c:v>
                </c:pt>
                <c:pt idx="43">
                  <c:v>0.8638229225444769</c:v>
                </c:pt>
                <c:pt idx="44">
                  <c:v>0.85977812017507815</c:v>
                </c:pt>
                <c:pt idx="45">
                  <c:v>0.85583318433200772</c:v>
                </c:pt>
                <c:pt idx="46">
                  <c:v>0.85198564930194542</c:v>
                </c:pt>
                <c:pt idx="47">
                  <c:v>0.8482331102502495</c:v>
                </c:pt>
                <c:pt idx="48">
                  <c:v>0.84457322171785698</c:v>
                </c:pt>
                <c:pt idx="49">
                  <c:v>0.84100369615529569</c:v>
                </c:pt>
                <c:pt idx="50">
                  <c:v>0.83752230249289128</c:v>
                </c:pt>
                <c:pt idx="51">
                  <c:v>0.83412686474627551</c:v>
                </c:pt>
                <c:pt idx="52">
                  <c:v>0.83081526065632605</c:v>
                </c:pt>
                <c:pt idx="53">
                  <c:v>0.82758542036268468</c:v>
                </c:pt>
                <c:pt idx="54">
                  <c:v>0.82443532511002793</c:v>
                </c:pt>
                <c:pt idx="55">
                  <c:v>0.82136300598627832</c:v>
                </c:pt>
                <c:pt idx="56">
                  <c:v>0.81836654269197107</c:v>
                </c:pt>
                <c:pt idx="57">
                  <c:v>0.81544406234000433</c:v>
                </c:pt>
                <c:pt idx="58">
                  <c:v>0.8125937382850229</c:v>
                </c:pt>
                <c:pt idx="59">
                  <c:v>0.80981378898170686</c:v>
                </c:pt>
                <c:pt idx="60">
                  <c:v>0.80710247687124637</c:v>
                </c:pt>
                <c:pt idx="61">
                  <c:v>0.80445810729531186</c:v>
                </c:pt>
                <c:pt idx="62">
                  <c:v>0.80187902743683681</c:v>
                </c:pt>
                <c:pt idx="63">
                  <c:v>0.79936362528695337</c:v>
                </c:pt>
                <c:pt idx="64">
                  <c:v>0.79691032863743472</c:v>
                </c:pt>
                <c:pt idx="65">
                  <c:v>0.79451760409801331</c:v>
                </c:pt>
                <c:pt idx="66">
                  <c:v>0.79218395613796211</c:v>
                </c:pt>
                <c:pt idx="67">
                  <c:v>0.78990792615133953</c:v>
                </c:pt>
                <c:pt idx="68">
                  <c:v>0.78768809154531272</c:v>
                </c:pt>
                <c:pt idx="69">
                  <c:v>0.78552306485099133</c:v>
                </c:pt>
                <c:pt idx="70">
                  <c:v>0.78341149285621381</c:v>
                </c:pt>
                <c:pt idx="71">
                  <c:v>0.78135205575974576</c:v>
                </c:pt>
                <c:pt idx="72">
                  <c:v>0.77934346634636165</c:v>
                </c:pt>
                <c:pt idx="73">
                  <c:v>0.77738446918229298</c:v>
                </c:pt>
                <c:pt idx="74">
                  <c:v>0.77547383983054141</c:v>
                </c:pt>
                <c:pt idx="75">
                  <c:v>0.77361038408556582</c:v>
                </c:pt>
                <c:pt idx="76">
                  <c:v>0.77179293722686493</c:v>
                </c:pt>
                <c:pt idx="77">
                  <c:v>0.77002036329098922</c:v>
                </c:pt>
                <c:pt idx="78">
                  <c:v>0.76829155436152663</c:v>
                </c:pt>
                <c:pt idx="79">
                  <c:v>0.76660542987661873</c:v>
                </c:pt>
                <c:pt idx="80">
                  <c:v>0.76496093595357428</c:v>
                </c:pt>
                <c:pt idx="81">
                  <c:v>0.76335704473015875</c:v>
                </c:pt>
                <c:pt idx="82">
                  <c:v>0.76179275372214628</c:v>
                </c:pt>
                <c:pt idx="83">
                  <c:v>0.7602670851967348</c:v>
                </c:pt>
                <c:pt idx="84">
                  <c:v>0.75877908556143148</c:v>
                </c:pt>
                <c:pt idx="85">
                  <c:v>0.75732782476802563</c:v>
                </c:pt>
                <c:pt idx="86">
                  <c:v>0.75591239573127877</c:v>
                </c:pt>
                <c:pt idx="87">
                  <c:v>0.75453191376196682</c:v>
                </c:pt>
                <c:pt idx="88">
                  <c:v>0.75318551601392048</c:v>
                </c:pt>
                <c:pt idx="89">
                  <c:v>0.75187236094471821</c:v>
                </c:pt>
                <c:pt idx="90">
                  <c:v>0.75059162778969513</c:v>
                </c:pt>
                <c:pt idx="91">
                  <c:v>0.74934251604893765</c:v>
                </c:pt>
                <c:pt idx="92">
                  <c:v>0.74812424498694596</c:v>
                </c:pt>
                <c:pt idx="93">
                  <c:v>0.74693605314464828</c:v>
                </c:pt>
                <c:pt idx="94">
                  <c:v>0.74577719786346397</c:v>
                </c:pt>
                <c:pt idx="95">
                  <c:v>0.74464695482111865</c:v>
                </c:pt>
                <c:pt idx="96">
                  <c:v>0.74354461757891821</c:v>
                </c:pt>
                <c:pt idx="97">
                  <c:v>0.74246949714020205</c:v>
                </c:pt>
                <c:pt idx="98">
                  <c:v>0.74142092151969807</c:v>
                </c:pt>
                <c:pt idx="99">
                  <c:v>0.74039823532350912</c:v>
                </c:pt>
                <c:pt idx="100">
                  <c:v>0.73940079933947156</c:v>
                </c:pt>
                <c:pt idx="101">
                  <c:v>0.73842799013762606</c:v>
                </c:pt>
                <c:pt idx="102">
                  <c:v>0.73747919968055364</c:v>
                </c:pt>
                <c:pt idx="103">
                  <c:v>0.73655383494333315</c:v>
                </c:pt>
                <c:pt idx="104">
                  <c:v>0.73565131754288038</c:v>
                </c:pt>
                <c:pt idx="105">
                  <c:v>0.73477108337644093</c:v>
                </c:pt>
                <c:pt idx="106">
                  <c:v>0.73391258226900635</c:v>
                </c:pt>
              </c:numCache>
            </c:numRef>
          </c:yVal>
          <c:extLst xmlns:c16r2="http://schemas.microsoft.com/office/drawing/2015/06/chart">
            <c:ext xmlns:c16="http://schemas.microsoft.com/office/drawing/2014/chart" uri="{C3380CC4-5D6E-409C-BE32-E72D297353CC}">
              <c16:uniqueId val="{00000004-9BA8-4662-825A-C0A8B28770EF}"/>
            </c:ext>
          </c:extLst>
        </c:ser>
        <c:axId val="162339072"/>
        <c:axId val="162357248"/>
      </c:scatterChart>
      <c:valAx>
        <c:axId val="162339072"/>
        <c:scaling>
          <c:orientation val="minMax"/>
        </c:scaling>
        <c:axPos val="b"/>
        <c:numFmt formatCode="h:mm" sourceLinked="1"/>
        <c:tickLblPos val="nextTo"/>
        <c:crossAx val="162357248"/>
        <c:crosses val="autoZero"/>
        <c:crossBetween val="midCat"/>
      </c:valAx>
      <c:valAx>
        <c:axId val="162357248"/>
        <c:scaling>
          <c:orientation val="minMax"/>
        </c:scaling>
        <c:axPos val="l"/>
        <c:majorGridlines/>
        <c:numFmt formatCode="General" sourceLinked="1"/>
        <c:tickLblPos val="nextTo"/>
        <c:crossAx val="16233907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val>
            <c:numRef>
              <c:f>'10 těles'!$CC$21:$CC$29</c:f>
              <c:numCache>
                <c:formatCode>General</c:formatCode>
                <c:ptCount val="9"/>
                <c:pt idx="0">
                  <c:v>1</c:v>
                </c:pt>
                <c:pt idx="1">
                  <c:v>1.5</c:v>
                </c:pt>
                <c:pt idx="2">
                  <c:v>2</c:v>
                </c:pt>
                <c:pt idx="3">
                  <c:v>2.5</c:v>
                </c:pt>
                <c:pt idx="4">
                  <c:v>3</c:v>
                </c:pt>
                <c:pt idx="5">
                  <c:v>3.5</c:v>
                </c:pt>
                <c:pt idx="6">
                  <c:v>4</c:v>
                </c:pt>
                <c:pt idx="7">
                  <c:v>4.5</c:v>
                </c:pt>
                <c:pt idx="8">
                  <c:v>5</c:v>
                </c:pt>
              </c:numCache>
            </c:numRef>
          </c:val>
          <c:extLst xmlns:c16r2="http://schemas.microsoft.com/office/drawing/2015/06/chart">
            <c:ext xmlns:c16="http://schemas.microsoft.com/office/drawing/2014/chart" uri="{C3380CC4-5D6E-409C-BE32-E72D297353CC}">
              <c16:uniqueId val="{00000000-D712-4425-8204-304C4795EF03}"/>
            </c:ext>
          </c:extLst>
        </c:ser>
        <c:ser>
          <c:idx val="3"/>
          <c:order val="1"/>
          <c:val>
            <c:numRef>
              <c:f>'10 těles'!$CF$21:$CF$29</c:f>
              <c:numCache>
                <c:formatCode>General</c:formatCode>
                <c:ptCount val="9"/>
                <c:pt idx="0">
                  <c:v>-0.45476968550499919</c:v>
                </c:pt>
                <c:pt idx="1">
                  <c:v>0.7836488779430959</c:v>
                </c:pt>
                <c:pt idx="2">
                  <c:v>1.5898585232689166</c:v>
                </c:pt>
                <c:pt idx="3">
                  <c:v>2.2538434446504616</c:v>
                </c:pt>
                <c:pt idx="4">
                  <c:v>2.7448095509723545</c:v>
                </c:pt>
                <c:pt idx="5">
                  <c:v>3.0908821985525434</c:v>
                </c:pt>
                <c:pt idx="6">
                  <c:v>3.7091820971068499</c:v>
                </c:pt>
                <c:pt idx="7">
                  <c:v>4.309487628236246</c:v>
                </c:pt>
                <c:pt idx="8">
                  <c:v>4.8512388566814453</c:v>
                </c:pt>
              </c:numCache>
            </c:numRef>
          </c:val>
          <c:extLst xmlns:c16r2="http://schemas.microsoft.com/office/drawing/2015/06/chart">
            <c:ext xmlns:c16="http://schemas.microsoft.com/office/drawing/2014/chart" uri="{C3380CC4-5D6E-409C-BE32-E72D297353CC}">
              <c16:uniqueId val="{00000001-D712-4425-8204-304C4795EF03}"/>
            </c:ext>
          </c:extLst>
        </c:ser>
        <c:marker val="1"/>
        <c:axId val="153506176"/>
        <c:axId val="153507712"/>
      </c:lineChart>
      <c:catAx>
        <c:axId val="153506176"/>
        <c:scaling>
          <c:orientation val="minMax"/>
        </c:scaling>
        <c:axPos val="b"/>
        <c:tickLblPos val="nextTo"/>
        <c:crossAx val="153507712"/>
        <c:crosses val="autoZero"/>
        <c:auto val="1"/>
        <c:lblAlgn val="ctr"/>
        <c:lblOffset val="100"/>
      </c:catAx>
      <c:valAx>
        <c:axId val="153507712"/>
        <c:scaling>
          <c:orientation val="minMax"/>
        </c:scaling>
        <c:axPos val="l"/>
        <c:majorGridlines/>
        <c:numFmt formatCode="General" sourceLinked="1"/>
        <c:tickLblPos val="nextTo"/>
        <c:crossAx val="153506176"/>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exponent!$D$37:$D$143</c:f>
              <c:numCache>
                <c:formatCode>General</c:formatCode>
                <c:ptCount val="107"/>
                <c:pt idx="0">
                  <c:v>100</c:v>
                </c:pt>
                <c:pt idx="1">
                  <c:v>98.024792962266616</c:v>
                </c:pt>
                <c:pt idx="2">
                  <c:v>96.098353960057125</c:v>
                </c:pt>
                <c:pt idx="3">
                  <c:v>94.219478906284223</c:v>
                </c:pt>
                <c:pt idx="4">
                  <c:v>92.386993442876758</c:v>
                </c:pt>
                <c:pt idx="5">
                  <c:v>90.599752206767633</c:v>
                </c:pt>
                <c:pt idx="6">
                  <c:v>88.856638114004625</c:v>
                </c:pt>
                <c:pt idx="7">
                  <c:v>87.156561661536585</c:v>
                </c:pt>
                <c:pt idx="8">
                  <c:v>85.498460246238551</c:v>
                </c:pt>
                <c:pt idx="9">
                  <c:v>83.881297500750165</c:v>
                </c:pt>
                <c:pt idx="10">
                  <c:v>82.304062645712392</c:v>
                </c:pt>
                <c:pt idx="11">
                  <c:v>80.765769857997469</c:v>
                </c:pt>
                <c:pt idx="12">
                  <c:v>79.265457654537428</c:v>
                </c:pt>
                <c:pt idx="13">
                  <c:v>77.802188291365781</c:v>
                </c:pt>
                <c:pt idx="14">
                  <c:v>76.375047177497066</c:v>
                </c:pt>
                <c:pt idx="15">
                  <c:v>74.983142303277788</c:v>
                </c:pt>
                <c:pt idx="16">
                  <c:v>73.62560368285115</c:v>
                </c:pt>
                <c:pt idx="17">
                  <c:v>72.301582810387799</c:v>
                </c:pt>
                <c:pt idx="18">
                  <c:v>71.010252129741872</c:v>
                </c:pt>
                <c:pt idx="19">
                  <c:v>69.750804517201615</c:v>
                </c:pt>
                <c:pt idx="20">
                  <c:v>68.522452777010685</c:v>
                </c:pt>
                <c:pt idx="21">
                  <c:v>67.324429149345221</c:v>
                </c:pt>
                <c:pt idx="22">
                  <c:v>66.155984830438953</c:v>
                </c:pt>
                <c:pt idx="23">
                  <c:v>65.016389504556457</c:v>
                </c:pt>
                <c:pt idx="24">
                  <c:v>63.904930887522127</c:v>
                </c:pt>
                <c:pt idx="25">
                  <c:v>62.820914281519229</c:v>
                </c:pt>
                <c:pt idx="26">
                  <c:v>61.763662140881294</c:v>
                </c:pt>
                <c:pt idx="27">
                  <c:v>60.732513648603934</c:v>
                </c:pt>
                <c:pt idx="28">
                  <c:v>59.72682430331276</c:v>
                </c:pt>
                <c:pt idx="29">
                  <c:v>58.745965516428996</c:v>
                </c:pt>
                <c:pt idx="30">
                  <c:v>57.789324219281177</c:v>
                </c:pt>
                <c:pt idx="31">
                  <c:v>56.856302479917261</c:v>
                </c:pt>
                <c:pt idx="32">
                  <c:v>55.946317129377725</c:v>
                </c:pt>
                <c:pt idx="33">
                  <c:v>55.058799397195934</c:v>
                </c:pt>
                <c:pt idx="34">
                  <c:v>54.193194555898131</c:v>
                </c:pt>
                <c:pt idx="35">
                  <c:v>53.348961574280665</c:v>
                </c:pt>
                <c:pt idx="36">
                  <c:v>52.525572779247923</c:v>
                </c:pt>
                <c:pt idx="37">
                  <c:v>51.722513525999425</c:v>
                </c:pt>
                <c:pt idx="38">
                  <c:v>50.939281876360091</c:v>
                </c:pt>
                <c:pt idx="39">
                  <c:v>50.175388285052541</c:v>
                </c:pt>
                <c:pt idx="40">
                  <c:v>49.430355293715373</c:v>
                </c:pt>
                <c:pt idx="41">
                  <c:v>48.703717232476116</c:v>
                </c:pt>
                <c:pt idx="42">
                  <c:v>47.995019928892411</c:v>
                </c:pt>
                <c:pt idx="43">
                  <c:v>47.303820424079483</c:v>
                </c:pt>
                <c:pt idx="44">
                  <c:v>46.629686695846353</c:v>
                </c:pt>
                <c:pt idx="45">
                  <c:v>45.972197388667965</c:v>
                </c:pt>
                <c:pt idx="46">
                  <c:v>45.330941550324241</c:v>
                </c:pt>
                <c:pt idx="47">
                  <c:v>44.705518375041578</c:v>
                </c:pt>
                <c:pt idx="48">
                  <c:v>44.095536952976161</c:v>
                </c:pt>
                <c:pt idx="49">
                  <c:v>43.500616025882621</c:v>
                </c:pt>
                <c:pt idx="50">
                  <c:v>42.920383748815205</c:v>
                </c:pt>
                <c:pt idx="51">
                  <c:v>42.354477457712584</c:v>
                </c:pt>
                <c:pt idx="52">
                  <c:v>41.802543442721003</c:v>
                </c:pt>
                <c:pt idx="53">
                  <c:v>41.264236727114124</c:v>
                </c:pt>
                <c:pt idx="54">
                  <c:v>40.739220851671327</c:v>
                </c:pt>
                <c:pt idx="55">
                  <c:v>40.227167664379721</c:v>
                </c:pt>
                <c:pt idx="56">
                  <c:v>39.727757115328522</c:v>
                </c:pt>
                <c:pt idx="57">
                  <c:v>39.24067705666738</c:v>
                </c:pt>
                <c:pt idx="58">
                  <c:v>38.765623047503823</c:v>
                </c:pt>
                <c:pt idx="59">
                  <c:v>38.302298163617806</c:v>
                </c:pt>
                <c:pt idx="60">
                  <c:v>37.850412811874399</c:v>
                </c:pt>
                <c:pt idx="61">
                  <c:v>37.409684549218639</c:v>
                </c:pt>
                <c:pt idx="62">
                  <c:v>36.979837906139458</c:v>
                </c:pt>
                <c:pt idx="63">
                  <c:v>36.56060421449223</c:v>
                </c:pt>
                <c:pt idx="64">
                  <c:v>36.151721439572448</c:v>
                </c:pt>
                <c:pt idx="65">
                  <c:v>35.752934016335544</c:v>
                </c:pt>
                <c:pt idx="66">
                  <c:v>35.36399268966035</c:v>
                </c:pt>
                <c:pt idx="67">
                  <c:v>34.984654358556583</c:v>
                </c:pt>
                <c:pt idx="68">
                  <c:v>34.614681924218793</c:v>
                </c:pt>
                <c:pt idx="69">
                  <c:v>34.253844141831891</c:v>
                </c:pt>
                <c:pt idx="70">
                  <c:v>33.901915476035633</c:v>
                </c:pt>
                <c:pt idx="71">
                  <c:v>33.558675959957625</c:v>
                </c:pt>
                <c:pt idx="72">
                  <c:v>33.223911057726951</c:v>
                </c:pt>
                <c:pt idx="73">
                  <c:v>32.897411530382165</c:v>
                </c:pt>
                <c:pt idx="74">
                  <c:v>32.57897330509023</c:v>
                </c:pt>
                <c:pt idx="75">
                  <c:v>32.268397347594302</c:v>
                </c:pt>
                <c:pt idx="76">
                  <c:v>31.965489537810829</c:v>
                </c:pt>
                <c:pt idx="77">
                  <c:v>31.670060548498213</c:v>
                </c:pt>
                <c:pt idx="78">
                  <c:v>31.381925726921111</c:v>
                </c:pt>
                <c:pt idx="79">
                  <c:v>31.100904979436446</c:v>
                </c:pt>
                <c:pt idx="80">
                  <c:v>30.826822658929043</c:v>
                </c:pt>
                <c:pt idx="81">
                  <c:v>30.559507455026448</c:v>
                </c:pt>
                <c:pt idx="82">
                  <c:v>30.298792287024369</c:v>
                </c:pt>
                <c:pt idx="83">
                  <c:v>30.044514199455808</c:v>
                </c:pt>
                <c:pt idx="84">
                  <c:v>29.796514260238581</c:v>
                </c:pt>
                <c:pt idx="85">
                  <c:v>29.554637461337599</c:v>
                </c:pt>
                <c:pt idx="86">
                  <c:v>29.318732621879786</c:v>
                </c:pt>
                <c:pt idx="87">
                  <c:v>29.088652293661127</c:v>
                </c:pt>
                <c:pt idx="88">
                  <c:v>28.86425266898674</c:v>
                </c:pt>
                <c:pt idx="89">
                  <c:v>28.645393490786372</c:v>
                </c:pt>
                <c:pt idx="90">
                  <c:v>28.431937964949178</c:v>
                </c:pt>
                <c:pt idx="91">
                  <c:v>28.22375267482294</c:v>
                </c:pt>
                <c:pt idx="92">
                  <c:v>28.020707497824329</c:v>
                </c:pt>
                <c:pt idx="93">
                  <c:v>27.822675524108035</c:v>
                </c:pt>
                <c:pt idx="94">
                  <c:v>27.629532977243997</c:v>
                </c:pt>
                <c:pt idx="95">
                  <c:v>27.441159136853109</c:v>
                </c:pt>
                <c:pt idx="96">
                  <c:v>27.257436263153032</c:v>
                </c:pt>
                <c:pt idx="97">
                  <c:v>27.078249523367013</c:v>
                </c:pt>
                <c:pt idx="98">
                  <c:v>26.903486919949671</c:v>
                </c:pt>
                <c:pt idx="99">
                  <c:v>26.733039220584857</c:v>
                </c:pt>
                <c:pt idx="100">
                  <c:v>26.566799889911934</c:v>
                </c:pt>
                <c:pt idx="101">
                  <c:v>26.404665022937671</c:v>
                </c:pt>
                <c:pt idx="102">
                  <c:v>26.246533280092279</c:v>
                </c:pt>
                <c:pt idx="103">
                  <c:v>26.092305823888857</c:v>
                </c:pt>
                <c:pt idx="104">
                  <c:v>25.941886257146738</c:v>
                </c:pt>
                <c:pt idx="105">
                  <c:v>25.795180562740146</c:v>
                </c:pt>
                <c:pt idx="106">
                  <c:v>25.652097044834395</c:v>
                </c:pt>
              </c:numCache>
            </c:numRef>
          </c:xVal>
          <c:yVal>
            <c:numRef>
              <c:f>exponent!$E$37:$E$143</c:f>
              <c:numCache>
                <c:formatCode>General</c:formatCode>
                <c:ptCount val="107"/>
                <c:pt idx="1">
                  <c:v>229.68419159999991</c:v>
                </c:pt>
                <c:pt idx="2">
                  <c:v>210.23612372590037</c:v>
                </c:pt>
                <c:pt idx="3">
                  <c:v>193.32647840229879</c:v>
                </c:pt>
                <c:pt idx="4">
                  <c:v>178.50458785227482</c:v>
                </c:pt>
                <c:pt idx="5">
                  <c:v>165.4192498442489</c:v>
                </c:pt>
                <c:pt idx="6">
                  <c:v>153.79288064537286</c:v>
                </c:pt>
                <c:pt idx="7">
                  <c:v>143.40330508968839</c:v>
                </c:pt>
                <c:pt idx="8">
                  <c:v>134.07067897499968</c:v>
                </c:pt>
                <c:pt idx="9">
                  <c:v>125.64793504327656</c:v>
                </c:pt>
                <c:pt idx="10">
                  <c:v>118.01369481239746</c:v>
                </c:pt>
                <c:pt idx="11">
                  <c:v>111.06693605264797</c:v>
                </c:pt>
                <c:pt idx="12">
                  <c:v>104.72292992496253</c:v>
                </c:pt>
                <c:pt idx="13">
                  <c:v>98.910109467467976</c:v>
                </c:pt>
                <c:pt idx="14">
                  <c:v>93.567630199328676</c:v>
                </c:pt>
                <c:pt idx="15">
                  <c:v>88.643451232978578</c:v>
                </c:pt>
                <c:pt idx="16">
                  <c:v>84.092812161671958</c:v>
                </c:pt>
                <c:pt idx="17">
                  <c:v>79.877013952886671</c:v>
                </c:pt>
                <c:pt idx="18">
                  <c:v>75.962435567311644</c:v>
                </c:pt>
                <c:pt idx="19">
                  <c:v>72.319734967396741</c:v>
                </c:pt>
                <c:pt idx="20">
                  <c:v>68.923195542416352</c:v>
                </c:pt>
                <c:pt idx="21">
                  <c:v>65.750188093399856</c:v>
                </c:pt>
                <c:pt idx="22">
                  <c:v>62.780725310653828</c:v>
                </c:pt>
                <c:pt idx="23">
                  <c:v>59.997090779940571</c:v>
                </c:pt>
                <c:pt idx="24">
                  <c:v>57.38352842291048</c:v>
                </c:pt>
                <c:pt idx="25">
                  <c:v>54.925981235457272</c:v>
                </c:pt>
                <c:pt idx="26">
                  <c:v>52.611870466460495</c:v>
                </c:pt>
                <c:pt idx="27">
                  <c:v>50.429908147639978</c:v>
                </c:pt>
                <c:pt idx="28">
                  <c:v>48.369937266839401</c:v>
                </c:pt>
                <c:pt idx="29">
                  <c:v>46.422794963541683</c:v>
                </c:pt>
                <c:pt idx="30">
                  <c:v>44.580194985117124</c:v>
                </c:pt>
                <c:pt idx="31">
                  <c:v>42.834626326557711</c:v>
                </c:pt>
                <c:pt idx="32">
                  <c:v>41.1792655240654</c:v>
                </c:pt>
                <c:pt idx="33">
                  <c:v>39.60790051349489</c:v>
                </c:pt>
                <c:pt idx="34">
                  <c:v>38.114864320947703</c:v>
                </c:pt>
                <c:pt idx="35">
                  <c:v>36.694977142336924</c:v>
                </c:pt>
                <c:pt idx="36">
                  <c:v>35.343495605085231</c:v>
                </c:pt>
                <c:pt idx="37">
                  <c:v>34.056068198878329</c:v>
                </c:pt>
                <c:pt idx="38">
                  <c:v>32.828696021951508</c:v>
                </c:pt>
                <c:pt idx="39">
                  <c:v>31.657698121264843</c:v>
                </c:pt>
                <c:pt idx="40">
                  <c:v>30.539680814386941</c:v>
                </c:pt>
                <c:pt idx="41">
                  <c:v>29.471510472070264</c:v>
                </c:pt>
                <c:pt idx="42">
                  <c:v>28.450289316719111</c:v>
                </c:pt>
                <c:pt idx="43">
                  <c:v>27.473333855878401</c:v>
                </c:pt>
                <c:pt idx="44">
                  <c:v>26.538155623671859</c:v>
                </c:pt>
                <c:pt idx="45">
                  <c:v>25.642443948542986</c:v>
                </c:pt>
                <c:pt idx="46">
                  <c:v>24.784050504113587</c:v>
                </c:pt>
                <c:pt idx="47">
                  <c:v>23.960975432647771</c:v>
                </c:pt>
                <c:pt idx="48">
                  <c:v>23.171354858435766</c:v>
                </c:pt>
                <c:pt idx="49">
                  <c:v>22.413449632179312</c:v>
                </c:pt>
                <c:pt idx="50">
                  <c:v>21.685635167814841</c:v>
                </c:pt>
                <c:pt idx="51">
                  <c:v>20.986392250686244</c:v>
                </c:pt>
                <c:pt idx="52">
                  <c:v>20.314298711018967</c:v>
                </c:pt>
                <c:pt idx="53">
                  <c:v>19.668021869628561</c:v>
                </c:pt>
                <c:pt idx="54">
                  <c:v>19.046311674015325</c:v>
                </c:pt>
                <c:pt idx="55">
                  <c:v>18.447994452724721</c:v>
                </c:pt>
                <c:pt idx="56">
                  <c:v>17.871967224308669</c:v>
                </c:pt>
                <c:pt idx="57">
                  <c:v>17.317192504566954</c:v>
                </c:pt>
                <c:pt idx="58">
                  <c:v>16.782693562174003</c:v>
                </c:pt>
                <c:pt idx="59">
                  <c:v>16.267550078398106</c:v>
                </c:pt>
                <c:pt idx="60">
                  <c:v>15.77089417153341</c:v>
                </c:pt>
                <c:pt idx="61">
                  <c:v>15.291906750966877</c:v>
                </c:pt>
                <c:pt idx="62">
                  <c:v>14.829814169601743</c:v>
                </c:pt>
                <c:pt idx="63">
                  <c:v>14.38388514667697</c:v>
                </c:pt>
                <c:pt idx="64">
                  <c:v>13.953427935977253</c:v>
                </c:pt>
                <c:pt idx="65">
                  <c:v>13.537787717019754</c:v>
                </c:pt>
                <c:pt idx="66">
                  <c:v>13.136344189101298</c:v>
                </c:pt>
                <c:pt idx="67">
                  <c:v>12.748509350136363</c:v>
                </c:pt>
                <c:pt idx="68">
                  <c:v>12.373725444016571</c:v>
                </c:pt>
                <c:pt idx="69">
                  <c:v>12.011463061836153</c:v>
                </c:pt>
                <c:pt idx="70">
                  <c:v>11.66121938376202</c:v>
                </c:pt>
                <c:pt idx="71">
                  <c:v>11.322516549598788</c:v>
                </c:pt>
                <c:pt idx="72">
                  <c:v>10.994900147246902</c:v>
                </c:pt>
                <c:pt idx="73">
                  <c:v>10.677937809264876</c:v>
                </c:pt>
                <c:pt idx="74">
                  <c:v>10.37121790866577</c:v>
                </c:pt>
                <c:pt idx="75">
                  <c:v>10.074348345896169</c:v>
                </c:pt>
                <c:pt idx="76">
                  <c:v>9.7869554196744986</c:v>
                </c:pt>
                <c:pt idx="77">
                  <c:v>9.5086827750376539</c:v>
                </c:pt>
                <c:pt idx="78">
                  <c:v>9.2391904225275194</c:v>
                </c:pt>
                <c:pt idx="79">
                  <c:v>8.9781538229939386</c:v>
                </c:pt>
                <c:pt idx="80">
                  <c:v>8.7252630329685079</c:v>
                </c:pt>
                <c:pt idx="81">
                  <c:v>8.4802219060017539</c:v>
                </c:pt>
                <c:pt idx="82">
                  <c:v>8.2427473457509493</c:v>
                </c:pt>
                <c:pt idx="83">
                  <c:v>8.0125686069627911</c:v>
                </c:pt>
                <c:pt idx="84">
                  <c:v>7.7894266408171227</c:v>
                </c:pt>
                <c:pt idx="85">
                  <c:v>7.5730734813940632</c:v>
                </c:pt>
                <c:pt idx="86">
                  <c:v>7.3632716702900716</c:v>
                </c:pt>
                <c:pt idx="87">
                  <c:v>7.1597937166539261</c:v>
                </c:pt>
                <c:pt idx="88">
                  <c:v>6.9624215901299191</c:v>
                </c:pt>
                <c:pt idx="89">
                  <c:v>6.7709462443996209</c:v>
                </c:pt>
                <c:pt idx="90">
                  <c:v>6.5851671691941451</c:v>
                </c:pt>
                <c:pt idx="91">
                  <c:v>6.4048919688166439</c:v>
                </c:pt>
                <c:pt idx="92">
                  <c:v>6.2299359653646285</c:v>
                </c:pt>
                <c:pt idx="93">
                  <c:v>6.060121824985611</c:v>
                </c:pt>
                <c:pt idx="94">
                  <c:v>5.8952792056208221</c:v>
                </c:pt>
                <c:pt idx="95">
                  <c:v>5.7352444248132262</c:v>
                </c:pt>
                <c:pt idx="96">
                  <c:v>5.5798601462585591</c:v>
                </c:pt>
                <c:pt idx="97">
                  <c:v>5.4289750838808182</c:v>
                </c:pt>
                <c:pt idx="98">
                  <c:v>5.282443722297586</c:v>
                </c:pt>
                <c:pt idx="99">
                  <c:v>5.1401260526280801</c:v>
                </c:pt>
                <c:pt idx="100">
                  <c:v>5.001887322669976</c:v>
                </c:pt>
                <c:pt idx="101">
                  <c:v>4.86759780054064</c:v>
                </c:pt>
                <c:pt idx="102">
                  <c:v>4.7371325509449598</c:v>
                </c:pt>
                <c:pt idx="103">
                  <c:v>4.6103712232866716</c:v>
                </c:pt>
                <c:pt idx="104">
                  <c:v>4.4871978509000261</c:v>
                </c:pt>
                <c:pt idx="105">
                  <c:v>4.3675006607244402</c:v>
                </c:pt>
                <c:pt idx="106">
                  <c:v>4.2511718927929891</c:v>
                </c:pt>
              </c:numCache>
            </c:numRef>
          </c:yVal>
          <c:extLst xmlns:c16r2="http://schemas.microsoft.com/office/drawing/2015/06/chart">
            <c:ext xmlns:c16="http://schemas.microsoft.com/office/drawing/2014/chart" uri="{C3380CC4-5D6E-409C-BE32-E72D297353CC}">
              <c16:uniqueId val="{00000000-07A6-4E7A-A052-F81BA81ED00B}"/>
            </c:ext>
          </c:extLst>
        </c:ser>
        <c:ser>
          <c:idx val="1"/>
          <c:order val="1"/>
          <c:marker>
            <c:symbol val="none"/>
          </c:marker>
          <c:xVal>
            <c:numRef>
              <c:f>exponent!$D$37:$D$143</c:f>
              <c:numCache>
                <c:formatCode>General</c:formatCode>
                <c:ptCount val="107"/>
                <c:pt idx="0">
                  <c:v>100</c:v>
                </c:pt>
                <c:pt idx="1">
                  <c:v>98.024792962266616</c:v>
                </c:pt>
                <c:pt idx="2">
                  <c:v>96.098353960057125</c:v>
                </c:pt>
                <c:pt idx="3">
                  <c:v>94.219478906284223</c:v>
                </c:pt>
                <c:pt idx="4">
                  <c:v>92.386993442876758</c:v>
                </c:pt>
                <c:pt idx="5">
                  <c:v>90.599752206767633</c:v>
                </c:pt>
                <c:pt idx="6">
                  <c:v>88.856638114004625</c:v>
                </c:pt>
                <c:pt idx="7">
                  <c:v>87.156561661536585</c:v>
                </c:pt>
                <c:pt idx="8">
                  <c:v>85.498460246238551</c:v>
                </c:pt>
                <c:pt idx="9">
                  <c:v>83.881297500750165</c:v>
                </c:pt>
                <c:pt idx="10">
                  <c:v>82.304062645712392</c:v>
                </c:pt>
                <c:pt idx="11">
                  <c:v>80.765769857997469</c:v>
                </c:pt>
                <c:pt idx="12">
                  <c:v>79.265457654537428</c:v>
                </c:pt>
                <c:pt idx="13">
                  <c:v>77.802188291365781</c:v>
                </c:pt>
                <c:pt idx="14">
                  <c:v>76.375047177497066</c:v>
                </c:pt>
                <c:pt idx="15">
                  <c:v>74.983142303277788</c:v>
                </c:pt>
                <c:pt idx="16">
                  <c:v>73.62560368285115</c:v>
                </c:pt>
                <c:pt idx="17">
                  <c:v>72.301582810387799</c:v>
                </c:pt>
                <c:pt idx="18">
                  <c:v>71.010252129741872</c:v>
                </c:pt>
                <c:pt idx="19">
                  <c:v>69.750804517201615</c:v>
                </c:pt>
                <c:pt idx="20">
                  <c:v>68.522452777010685</c:v>
                </c:pt>
                <c:pt idx="21">
                  <c:v>67.324429149345221</c:v>
                </c:pt>
                <c:pt idx="22">
                  <c:v>66.155984830438953</c:v>
                </c:pt>
                <c:pt idx="23">
                  <c:v>65.016389504556457</c:v>
                </c:pt>
                <c:pt idx="24">
                  <c:v>63.904930887522127</c:v>
                </c:pt>
                <c:pt idx="25">
                  <c:v>62.820914281519229</c:v>
                </c:pt>
                <c:pt idx="26">
                  <c:v>61.763662140881294</c:v>
                </c:pt>
                <c:pt idx="27">
                  <c:v>60.732513648603934</c:v>
                </c:pt>
                <c:pt idx="28">
                  <c:v>59.72682430331276</c:v>
                </c:pt>
                <c:pt idx="29">
                  <c:v>58.745965516428996</c:v>
                </c:pt>
                <c:pt idx="30">
                  <c:v>57.789324219281177</c:v>
                </c:pt>
                <c:pt idx="31">
                  <c:v>56.856302479917261</c:v>
                </c:pt>
                <c:pt idx="32">
                  <c:v>55.946317129377725</c:v>
                </c:pt>
                <c:pt idx="33">
                  <c:v>55.058799397195934</c:v>
                </c:pt>
                <c:pt idx="34">
                  <c:v>54.193194555898131</c:v>
                </c:pt>
                <c:pt idx="35">
                  <c:v>53.348961574280665</c:v>
                </c:pt>
                <c:pt idx="36">
                  <c:v>52.525572779247923</c:v>
                </c:pt>
                <c:pt idx="37">
                  <c:v>51.722513525999425</c:v>
                </c:pt>
                <c:pt idx="38">
                  <c:v>50.939281876360091</c:v>
                </c:pt>
                <c:pt idx="39">
                  <c:v>50.175388285052541</c:v>
                </c:pt>
                <c:pt idx="40">
                  <c:v>49.430355293715373</c:v>
                </c:pt>
                <c:pt idx="41">
                  <c:v>48.703717232476116</c:v>
                </c:pt>
                <c:pt idx="42">
                  <c:v>47.995019928892411</c:v>
                </c:pt>
                <c:pt idx="43">
                  <c:v>47.303820424079483</c:v>
                </c:pt>
                <c:pt idx="44">
                  <c:v>46.629686695846353</c:v>
                </c:pt>
                <c:pt idx="45">
                  <c:v>45.972197388667965</c:v>
                </c:pt>
                <c:pt idx="46">
                  <c:v>45.330941550324241</c:v>
                </c:pt>
                <c:pt idx="47">
                  <c:v>44.705518375041578</c:v>
                </c:pt>
                <c:pt idx="48">
                  <c:v>44.095536952976161</c:v>
                </c:pt>
                <c:pt idx="49">
                  <c:v>43.500616025882621</c:v>
                </c:pt>
                <c:pt idx="50">
                  <c:v>42.920383748815205</c:v>
                </c:pt>
                <c:pt idx="51">
                  <c:v>42.354477457712584</c:v>
                </c:pt>
                <c:pt idx="52">
                  <c:v>41.802543442721003</c:v>
                </c:pt>
                <c:pt idx="53">
                  <c:v>41.264236727114124</c:v>
                </c:pt>
                <c:pt idx="54">
                  <c:v>40.739220851671327</c:v>
                </c:pt>
                <c:pt idx="55">
                  <c:v>40.227167664379721</c:v>
                </c:pt>
                <c:pt idx="56">
                  <c:v>39.727757115328522</c:v>
                </c:pt>
                <c:pt idx="57">
                  <c:v>39.24067705666738</c:v>
                </c:pt>
                <c:pt idx="58">
                  <c:v>38.765623047503823</c:v>
                </c:pt>
                <c:pt idx="59">
                  <c:v>38.302298163617806</c:v>
                </c:pt>
                <c:pt idx="60">
                  <c:v>37.850412811874399</c:v>
                </c:pt>
                <c:pt idx="61">
                  <c:v>37.409684549218639</c:v>
                </c:pt>
                <c:pt idx="62">
                  <c:v>36.979837906139458</c:v>
                </c:pt>
                <c:pt idx="63">
                  <c:v>36.56060421449223</c:v>
                </c:pt>
                <c:pt idx="64">
                  <c:v>36.151721439572448</c:v>
                </c:pt>
                <c:pt idx="65">
                  <c:v>35.752934016335544</c:v>
                </c:pt>
                <c:pt idx="66">
                  <c:v>35.36399268966035</c:v>
                </c:pt>
                <c:pt idx="67">
                  <c:v>34.984654358556583</c:v>
                </c:pt>
                <c:pt idx="68">
                  <c:v>34.614681924218793</c:v>
                </c:pt>
                <c:pt idx="69">
                  <c:v>34.253844141831891</c:v>
                </c:pt>
                <c:pt idx="70">
                  <c:v>33.901915476035633</c:v>
                </c:pt>
                <c:pt idx="71">
                  <c:v>33.558675959957625</c:v>
                </c:pt>
                <c:pt idx="72">
                  <c:v>33.223911057726951</c:v>
                </c:pt>
                <c:pt idx="73">
                  <c:v>32.897411530382165</c:v>
                </c:pt>
                <c:pt idx="74">
                  <c:v>32.57897330509023</c:v>
                </c:pt>
                <c:pt idx="75">
                  <c:v>32.268397347594302</c:v>
                </c:pt>
                <c:pt idx="76">
                  <c:v>31.965489537810829</c:v>
                </c:pt>
                <c:pt idx="77">
                  <c:v>31.670060548498213</c:v>
                </c:pt>
                <c:pt idx="78">
                  <c:v>31.381925726921111</c:v>
                </c:pt>
                <c:pt idx="79">
                  <c:v>31.100904979436446</c:v>
                </c:pt>
                <c:pt idx="80">
                  <c:v>30.826822658929043</c:v>
                </c:pt>
                <c:pt idx="81">
                  <c:v>30.559507455026448</c:v>
                </c:pt>
                <c:pt idx="82">
                  <c:v>30.298792287024369</c:v>
                </c:pt>
                <c:pt idx="83">
                  <c:v>30.044514199455808</c:v>
                </c:pt>
                <c:pt idx="84">
                  <c:v>29.796514260238581</c:v>
                </c:pt>
                <c:pt idx="85">
                  <c:v>29.554637461337599</c:v>
                </c:pt>
                <c:pt idx="86">
                  <c:v>29.318732621879786</c:v>
                </c:pt>
                <c:pt idx="87">
                  <c:v>29.088652293661127</c:v>
                </c:pt>
                <c:pt idx="88">
                  <c:v>28.86425266898674</c:v>
                </c:pt>
                <c:pt idx="89">
                  <c:v>28.645393490786372</c:v>
                </c:pt>
                <c:pt idx="90">
                  <c:v>28.431937964949178</c:v>
                </c:pt>
                <c:pt idx="91">
                  <c:v>28.22375267482294</c:v>
                </c:pt>
                <c:pt idx="92">
                  <c:v>28.020707497824329</c:v>
                </c:pt>
                <c:pt idx="93">
                  <c:v>27.822675524108035</c:v>
                </c:pt>
                <c:pt idx="94">
                  <c:v>27.629532977243997</c:v>
                </c:pt>
                <c:pt idx="95">
                  <c:v>27.441159136853109</c:v>
                </c:pt>
                <c:pt idx="96">
                  <c:v>27.257436263153032</c:v>
                </c:pt>
                <c:pt idx="97">
                  <c:v>27.078249523367013</c:v>
                </c:pt>
                <c:pt idx="98">
                  <c:v>26.903486919949671</c:v>
                </c:pt>
                <c:pt idx="99">
                  <c:v>26.733039220584857</c:v>
                </c:pt>
                <c:pt idx="100">
                  <c:v>26.566799889911934</c:v>
                </c:pt>
                <c:pt idx="101">
                  <c:v>26.404665022937671</c:v>
                </c:pt>
                <c:pt idx="102">
                  <c:v>26.246533280092279</c:v>
                </c:pt>
                <c:pt idx="103">
                  <c:v>26.092305823888857</c:v>
                </c:pt>
                <c:pt idx="104">
                  <c:v>25.941886257146738</c:v>
                </c:pt>
                <c:pt idx="105">
                  <c:v>25.795180562740146</c:v>
                </c:pt>
                <c:pt idx="106">
                  <c:v>25.652097044834395</c:v>
                </c:pt>
              </c:numCache>
            </c:numRef>
          </c:xVal>
          <c:yVal>
            <c:numRef>
              <c:f>exponent!$F$37:$F$143</c:f>
              <c:numCache>
                <c:formatCode>General</c:formatCode>
                <c:ptCount val="107"/>
                <c:pt idx="1">
                  <c:v>59</c:v>
                </c:pt>
                <c:pt idx="2">
                  <c:v>57.525000000000084</c:v>
                </c:pt>
                <c:pt idx="3">
                  <c:v>56.086875000000134</c:v>
                </c:pt>
                <c:pt idx="4">
                  <c:v>54.684703124999963</c:v>
                </c:pt>
                <c:pt idx="5">
                  <c:v>53.317585546875058</c:v>
                </c:pt>
                <c:pt idx="6">
                  <c:v>51.984645908203255</c:v>
                </c:pt>
                <c:pt idx="7">
                  <c:v>50.685029760497912</c:v>
                </c:pt>
                <c:pt idx="8">
                  <c:v>49.41790401648538</c:v>
                </c:pt>
                <c:pt idx="9">
                  <c:v>48.182456416073371</c:v>
                </c:pt>
                <c:pt idx="10">
                  <c:v>46.977895005671485</c:v>
                </c:pt>
                <c:pt idx="11">
                  <c:v>45.803447630529782</c:v>
                </c:pt>
                <c:pt idx="12">
                  <c:v>44.658361439766736</c:v>
                </c:pt>
                <c:pt idx="13">
                  <c:v>43.541902403772568</c:v>
                </c:pt>
                <c:pt idx="14">
                  <c:v>42.453354843678149</c:v>
                </c:pt>
                <c:pt idx="15">
                  <c:v>41.392020972585975</c:v>
                </c:pt>
                <c:pt idx="16">
                  <c:v>40.35722044827142</c:v>
                </c:pt>
                <c:pt idx="17">
                  <c:v>39.348289937064592</c:v>
                </c:pt>
                <c:pt idx="18">
                  <c:v>38.364582688638208</c:v>
                </c:pt>
                <c:pt idx="19">
                  <c:v>37.405468121422274</c:v>
                </c:pt>
                <c:pt idx="20">
                  <c:v>36.470331418386507</c:v>
                </c:pt>
                <c:pt idx="21">
                  <c:v>35.558573132926803</c:v>
                </c:pt>
                <c:pt idx="22">
                  <c:v>34.66960880460379</c:v>
                </c:pt>
                <c:pt idx="23">
                  <c:v>33.802868584488664</c:v>
                </c:pt>
                <c:pt idx="24">
                  <c:v>32.957796869876489</c:v>
                </c:pt>
                <c:pt idx="25">
                  <c:v>32.13385194812949</c:v>
                </c:pt>
                <c:pt idx="26">
                  <c:v>31.330505649426271</c:v>
                </c:pt>
                <c:pt idx="27">
                  <c:v>30.54724300819074</c:v>
                </c:pt>
                <c:pt idx="28">
                  <c:v>29.783561932985773</c:v>
                </c:pt>
                <c:pt idx="29">
                  <c:v>29.03897288466128</c:v>
                </c:pt>
                <c:pt idx="30">
                  <c:v>28.312998562544617</c:v>
                </c:pt>
                <c:pt idx="31">
                  <c:v>27.605173598481091</c:v>
                </c:pt>
                <c:pt idx="32">
                  <c:v>26.915044258518954</c:v>
                </c:pt>
                <c:pt idx="33">
                  <c:v>26.242168152056095</c:v>
                </c:pt>
                <c:pt idx="34">
                  <c:v>25.586113948254756</c:v>
                </c:pt>
                <c:pt idx="35">
                  <c:v>24.946461099548397</c:v>
                </c:pt>
                <c:pt idx="36">
                  <c:v>24.32279957205963</c:v>
                </c:pt>
                <c:pt idx="37">
                  <c:v>23.714729582758149</c:v>
                </c:pt>
                <c:pt idx="38">
                  <c:v>23.121861343189117</c:v>
                </c:pt>
                <c:pt idx="39">
                  <c:v>22.543814809609525</c:v>
                </c:pt>
                <c:pt idx="40">
                  <c:v>21.980219439369272</c:v>
                </c:pt>
                <c:pt idx="41">
                  <c:v>21.430713953384966</c:v>
                </c:pt>
                <c:pt idx="42">
                  <c:v>20.894946104550321</c:v>
                </c:pt>
                <c:pt idx="43">
                  <c:v>20.372572451936595</c:v>
                </c:pt>
                <c:pt idx="44">
                  <c:v>19.863258140638258</c:v>
                </c:pt>
                <c:pt idx="45">
                  <c:v>19.366676687122187</c:v>
                </c:pt>
                <c:pt idx="46">
                  <c:v>18.882509769944122</c:v>
                </c:pt>
                <c:pt idx="47">
                  <c:v>18.410447025695539</c:v>
                </c:pt>
                <c:pt idx="48">
                  <c:v>17.950185850053057</c:v>
                </c:pt>
                <c:pt idx="49">
                  <c:v>17.501431203801882</c:v>
                </c:pt>
                <c:pt idx="50">
                  <c:v>17.063895423706715</c:v>
                </c:pt>
                <c:pt idx="51">
                  <c:v>16.637298038114167</c:v>
                </c:pt>
                <c:pt idx="52">
                  <c:v>16.221365587161166</c:v>
                </c:pt>
                <c:pt idx="53">
                  <c:v>15.815831447482211</c:v>
                </c:pt>
                <c:pt idx="54">
                  <c:v>15.420435661295176</c:v>
                </c:pt>
                <c:pt idx="55">
                  <c:v>15.03492476976275</c:v>
                </c:pt>
                <c:pt idx="56">
                  <c:v>14.659051650518812</c:v>
                </c:pt>
                <c:pt idx="57">
                  <c:v>14.29257535925581</c:v>
                </c:pt>
                <c:pt idx="58">
                  <c:v>13.935260975274389</c:v>
                </c:pt>
                <c:pt idx="59">
                  <c:v>13.586879450892571</c:v>
                </c:pt>
                <c:pt idx="60">
                  <c:v>13.247207464620168</c:v>
                </c:pt>
                <c:pt idx="61">
                  <c:v>12.916027278004716</c:v>
                </c:pt>
                <c:pt idx="62">
                  <c:v>12.593126596054624</c:v>
                </c:pt>
                <c:pt idx="63">
                  <c:v>12.278298431153164</c:v>
                </c:pt>
                <c:pt idx="64">
                  <c:v>11.971340970374435</c:v>
                </c:pt>
                <c:pt idx="65">
                  <c:v>11.672057446114938</c:v>
                </c:pt>
                <c:pt idx="66">
                  <c:v>11.380256009962164</c:v>
                </c:pt>
                <c:pt idx="67">
                  <c:v>11.095749609712989</c:v>
                </c:pt>
                <c:pt idx="68">
                  <c:v>10.818355869470196</c:v>
                </c:pt>
                <c:pt idx="69">
                  <c:v>10.547896972733483</c:v>
                </c:pt>
                <c:pt idx="70">
                  <c:v>10.284199548415167</c:v>
                </c:pt>
                <c:pt idx="71">
                  <c:v>10.027094559704693</c:v>
                </c:pt>
                <c:pt idx="72">
                  <c:v>9.7764171957121597</c:v>
                </c:pt>
                <c:pt idx="73">
                  <c:v>9.5320067658193715</c:v>
                </c:pt>
                <c:pt idx="74">
                  <c:v>9.2937065966738714</c:v>
                </c:pt>
                <c:pt idx="75">
                  <c:v>9.0613639317569827</c:v>
                </c:pt>
                <c:pt idx="76">
                  <c:v>8.8348298334630844</c:v>
                </c:pt>
                <c:pt idx="77">
                  <c:v>8.6139590876265046</c:v>
                </c:pt>
                <c:pt idx="78">
                  <c:v>8.3986101104358735</c:v>
                </c:pt>
                <c:pt idx="79">
                  <c:v>8.1886448576749373</c:v>
                </c:pt>
                <c:pt idx="80">
                  <c:v>7.9839287362331373</c:v>
                </c:pt>
                <c:pt idx="81">
                  <c:v>7.784330517827259</c:v>
                </c:pt>
                <c:pt idx="82">
                  <c:v>7.5897222548815435</c:v>
                </c:pt>
                <c:pt idx="83">
                  <c:v>7.3999791985095573</c:v>
                </c:pt>
                <c:pt idx="84">
                  <c:v>7.2149797185467843</c:v>
                </c:pt>
                <c:pt idx="85">
                  <c:v>7.0346052255831069</c:v>
                </c:pt>
                <c:pt idx="86">
                  <c:v>6.858740094943613</c:v>
                </c:pt>
                <c:pt idx="87">
                  <c:v>6.6872715925699389</c:v>
                </c:pt>
                <c:pt idx="88">
                  <c:v>6.5200898027557166</c:v>
                </c:pt>
                <c:pt idx="89">
                  <c:v>6.3570875576868708</c:v>
                </c:pt>
                <c:pt idx="90">
                  <c:v>6.1981603687446309</c:v>
                </c:pt>
                <c:pt idx="91">
                  <c:v>6.0432063595260885</c:v>
                </c:pt>
                <c:pt idx="92">
                  <c:v>5.892126200537863</c:v>
                </c:pt>
                <c:pt idx="93">
                  <c:v>5.7448230455244111</c:v>
                </c:pt>
                <c:pt idx="94">
                  <c:v>5.6012024693863349</c:v>
                </c:pt>
                <c:pt idx="95">
                  <c:v>5.4611724076516897</c:v>
                </c:pt>
                <c:pt idx="96">
                  <c:v>5.3246430974603634</c:v>
                </c:pt>
                <c:pt idx="97">
                  <c:v>5.1915270200239014</c:v>
                </c:pt>
                <c:pt idx="98">
                  <c:v>5.0617388445232567</c:v>
                </c:pt>
                <c:pt idx="99">
                  <c:v>4.9351953734101937</c:v>
                </c:pt>
                <c:pt idx="100">
                  <c:v>4.811815489074931</c:v>
                </c:pt>
                <c:pt idx="101">
                  <c:v>4.6915201018480577</c:v>
                </c:pt>
                <c:pt idx="102">
                  <c:v>4.5742320993018222</c:v>
                </c:pt>
                <c:pt idx="103">
                  <c:v>4.4598762968193526</c:v>
                </c:pt>
                <c:pt idx="104">
                  <c:v>4.3483793893987954</c:v>
                </c:pt>
                <c:pt idx="105">
                  <c:v>4.2396699046638648</c:v>
                </c:pt>
                <c:pt idx="106">
                  <c:v>4.1336781570472656</c:v>
                </c:pt>
              </c:numCache>
            </c:numRef>
          </c:yVal>
          <c:extLst xmlns:c16r2="http://schemas.microsoft.com/office/drawing/2015/06/chart">
            <c:ext xmlns:c16="http://schemas.microsoft.com/office/drawing/2014/chart" uri="{C3380CC4-5D6E-409C-BE32-E72D297353CC}">
              <c16:uniqueId val="{00000001-07A6-4E7A-A052-F81BA81ED00B}"/>
            </c:ext>
          </c:extLst>
        </c:ser>
        <c:axId val="162402688"/>
        <c:axId val="162404224"/>
      </c:scatterChart>
      <c:valAx>
        <c:axId val="162402688"/>
        <c:scaling>
          <c:orientation val="minMax"/>
        </c:scaling>
        <c:axPos val="b"/>
        <c:numFmt formatCode="General" sourceLinked="1"/>
        <c:tickLblPos val="nextTo"/>
        <c:crossAx val="162404224"/>
        <c:crosses val="autoZero"/>
        <c:crossBetween val="midCat"/>
      </c:valAx>
      <c:valAx>
        <c:axId val="162404224"/>
        <c:scaling>
          <c:orientation val="minMax"/>
        </c:scaling>
        <c:axPos val="l"/>
        <c:majorGridlines/>
        <c:numFmt formatCode="General" sourceLinked="1"/>
        <c:tickLblPos val="nextTo"/>
        <c:crossAx val="16240268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export!$B$20:$B$29</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export!$C$20:$C$29</c:f>
              <c:numCache>
                <c:formatCode>General</c:formatCode>
                <c:ptCount val="10"/>
                <c:pt idx="0">
                  <c:v>175.64417620090026</c:v>
                </c:pt>
                <c:pt idx="1">
                  <c:v>137.72434047410343</c:v>
                </c:pt>
                <c:pt idx="2">
                  <c:v>122.53832403837255</c:v>
                </c:pt>
                <c:pt idx="3">
                  <c:v>113.47270727821925</c:v>
                </c:pt>
                <c:pt idx="4">
                  <c:v>107.1577176271217</c:v>
                </c:pt>
                <c:pt idx="5">
                  <c:v>102.37900032958747</c:v>
                </c:pt>
                <c:pt idx="6">
                  <c:v>98.570515586162955</c:v>
                </c:pt>
                <c:pt idx="7">
                  <c:v>95.425525150196677</c:v>
                </c:pt>
                <c:pt idx="8">
                  <c:v>92.760339327842843</c:v>
                </c:pt>
                <c:pt idx="9">
                  <c:v>90.456808486987413</c:v>
                </c:pt>
              </c:numCache>
            </c:numRef>
          </c:yVal>
          <c:extLst xmlns:c16r2="http://schemas.microsoft.com/office/drawing/2015/06/chart">
            <c:ext xmlns:c16="http://schemas.microsoft.com/office/drawing/2014/chart" uri="{C3380CC4-5D6E-409C-BE32-E72D297353CC}">
              <c16:uniqueId val="{00000000-620E-462D-BF8A-70CBAB58189B}"/>
            </c:ext>
          </c:extLst>
        </c:ser>
        <c:ser>
          <c:idx val="1"/>
          <c:order val="1"/>
          <c:xVal>
            <c:numRef>
              <c:f>export!$B$20:$B$29</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export!$D$20:$D$29</c:f>
              <c:numCache>
                <c:formatCode>General</c:formatCode>
                <c:ptCount val="10"/>
                <c:pt idx="0">
                  <c:v>175.64417620090026</c:v>
                </c:pt>
                <c:pt idx="1">
                  <c:v>137.72434047410343</c:v>
                </c:pt>
                <c:pt idx="2">
                  <c:v>122.53832403837255</c:v>
                </c:pt>
                <c:pt idx="3">
                  <c:v>113.47270727821925</c:v>
                </c:pt>
                <c:pt idx="4">
                  <c:v>107.1577176271217</c:v>
                </c:pt>
                <c:pt idx="5">
                  <c:v>102.37900032958747</c:v>
                </c:pt>
                <c:pt idx="6">
                  <c:v>98.570515586162955</c:v>
                </c:pt>
                <c:pt idx="7">
                  <c:v>95.425525150196677</c:v>
                </c:pt>
                <c:pt idx="8">
                  <c:v>92.760339327842843</c:v>
                </c:pt>
                <c:pt idx="9">
                  <c:v>90.456808486987413</c:v>
                </c:pt>
              </c:numCache>
            </c:numRef>
          </c:yVal>
          <c:extLst xmlns:c16r2="http://schemas.microsoft.com/office/drawing/2015/06/chart">
            <c:ext xmlns:c16="http://schemas.microsoft.com/office/drawing/2014/chart" uri="{C3380CC4-5D6E-409C-BE32-E72D297353CC}">
              <c16:uniqueId val="{00000001-620E-462D-BF8A-70CBAB58189B}"/>
            </c:ext>
          </c:extLst>
        </c:ser>
        <c:ser>
          <c:idx val="2"/>
          <c:order val="2"/>
          <c:xVal>
            <c:numRef>
              <c:f>export!$B$20:$B$29</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export!$E$20:$E$29</c:f>
              <c:numCache>
                <c:formatCode>General</c:formatCode>
                <c:ptCount val="10"/>
                <c:pt idx="0">
                  <c:v>175.64417620090026</c:v>
                </c:pt>
                <c:pt idx="1">
                  <c:v>137.72434047410343</c:v>
                </c:pt>
                <c:pt idx="2">
                  <c:v>122.53832403837255</c:v>
                </c:pt>
                <c:pt idx="3">
                  <c:v>113.47270727821925</c:v>
                </c:pt>
                <c:pt idx="4">
                  <c:v>107.1577176271217</c:v>
                </c:pt>
                <c:pt idx="5">
                  <c:v>102.37900032958747</c:v>
                </c:pt>
                <c:pt idx="6">
                  <c:v>98.570515586162955</c:v>
                </c:pt>
                <c:pt idx="7">
                  <c:v>95.425525150196677</c:v>
                </c:pt>
                <c:pt idx="8">
                  <c:v>92.760339327842843</c:v>
                </c:pt>
                <c:pt idx="9">
                  <c:v>90.456808486987413</c:v>
                </c:pt>
              </c:numCache>
            </c:numRef>
          </c:yVal>
          <c:extLst xmlns:c16r2="http://schemas.microsoft.com/office/drawing/2015/06/chart">
            <c:ext xmlns:c16="http://schemas.microsoft.com/office/drawing/2014/chart" uri="{C3380CC4-5D6E-409C-BE32-E72D297353CC}">
              <c16:uniqueId val="{00000002-620E-462D-BF8A-70CBAB58189B}"/>
            </c:ext>
          </c:extLst>
        </c:ser>
        <c:axId val="162429952"/>
        <c:axId val="162439936"/>
      </c:scatterChart>
      <c:valAx>
        <c:axId val="162429952"/>
        <c:scaling>
          <c:orientation val="minMax"/>
        </c:scaling>
        <c:axPos val="b"/>
        <c:numFmt formatCode="General" sourceLinked="1"/>
        <c:tickLblPos val="nextTo"/>
        <c:crossAx val="162439936"/>
        <c:crosses val="autoZero"/>
        <c:crossBetween val="midCat"/>
      </c:valAx>
      <c:valAx>
        <c:axId val="162439936"/>
        <c:scaling>
          <c:orientation val="minMax"/>
        </c:scaling>
        <c:axPos val="l"/>
        <c:majorGridlines/>
        <c:numFmt formatCode="General" sourceLinked="1"/>
        <c:tickLblPos val="nextTo"/>
        <c:crossAx val="16242995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export!$B$31:$B$41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export!$C$31:$C$41</c:f>
              <c:numCache>
                <c:formatCode>General</c:formatCode>
                <c:ptCount val="11"/>
                <c:pt idx="0">
                  <c:v>73.090538090612583</c:v>
                </c:pt>
                <c:pt idx="1">
                  <c:v>73.630183010761087</c:v>
                </c:pt>
                <c:pt idx="2">
                  <c:v>73.935051262959689</c:v>
                </c:pt>
                <c:pt idx="3">
                  <c:v>74.155287811350036</c:v>
                </c:pt>
                <c:pt idx="4">
                  <c:v>74.330674843572012</c:v>
                </c:pt>
                <c:pt idx="5">
                  <c:v>74.477872251580891</c:v>
                </c:pt>
                <c:pt idx="6">
                  <c:v>74.605534188801585</c:v>
                </c:pt>
                <c:pt idx="7">
                  <c:v>74.718770557327403</c:v>
                </c:pt>
                <c:pt idx="8">
                  <c:v>74.820868041475649</c:v>
                </c:pt>
                <c:pt idx="9">
                  <c:v>74.91407447428422</c:v>
                </c:pt>
                <c:pt idx="10">
                  <c:v>75</c:v>
                </c:pt>
              </c:numCache>
            </c:numRef>
          </c:yVal>
          <c:extLst xmlns:c16r2="http://schemas.microsoft.com/office/drawing/2015/06/chart">
            <c:ext xmlns:c16="http://schemas.microsoft.com/office/drawing/2014/chart" uri="{C3380CC4-5D6E-409C-BE32-E72D297353CC}">
              <c16:uniqueId val="{00000000-6E7A-4D5F-B5B4-4750BB48CCEB}"/>
            </c:ext>
          </c:extLst>
        </c:ser>
        <c:ser>
          <c:idx val="1"/>
          <c:order val="1"/>
          <c:xVal>
            <c:numRef>
              <c:f>export!$B$31:$B$41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export!$D$31:$D$41</c:f>
              <c:numCache>
                <c:formatCode>General</c:formatCode>
                <c:ptCount val="11"/>
                <c:pt idx="0">
                  <c:v>73.090538090612583</c:v>
                </c:pt>
                <c:pt idx="1">
                  <c:v>73.630183010761087</c:v>
                </c:pt>
                <c:pt idx="2">
                  <c:v>73.935051262959689</c:v>
                </c:pt>
                <c:pt idx="3">
                  <c:v>74.155287811350036</c:v>
                </c:pt>
                <c:pt idx="4">
                  <c:v>74.330674843572012</c:v>
                </c:pt>
                <c:pt idx="5">
                  <c:v>74.477872251580891</c:v>
                </c:pt>
                <c:pt idx="6">
                  <c:v>74.605534188801585</c:v>
                </c:pt>
                <c:pt idx="7">
                  <c:v>74.718770557327403</c:v>
                </c:pt>
                <c:pt idx="8">
                  <c:v>74.820868041475649</c:v>
                </c:pt>
                <c:pt idx="9">
                  <c:v>74.91407447428422</c:v>
                </c:pt>
                <c:pt idx="10">
                  <c:v>75</c:v>
                </c:pt>
              </c:numCache>
            </c:numRef>
          </c:yVal>
          <c:extLst xmlns:c16r2="http://schemas.microsoft.com/office/drawing/2015/06/chart">
            <c:ext xmlns:c16="http://schemas.microsoft.com/office/drawing/2014/chart" uri="{C3380CC4-5D6E-409C-BE32-E72D297353CC}">
              <c16:uniqueId val="{00000001-6E7A-4D5F-B5B4-4750BB48CCEB}"/>
            </c:ext>
          </c:extLst>
        </c:ser>
        <c:ser>
          <c:idx val="2"/>
          <c:order val="2"/>
          <c:xVal>
            <c:numRef>
              <c:f>export!$B$31:$B$41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export!$E$31:$E$41</c:f>
              <c:numCache>
                <c:formatCode>General</c:formatCode>
                <c:ptCount val="11"/>
                <c:pt idx="0">
                  <c:v>73.090538090612583</c:v>
                </c:pt>
                <c:pt idx="1">
                  <c:v>73.630183010761087</c:v>
                </c:pt>
                <c:pt idx="2">
                  <c:v>73.935051262959689</c:v>
                </c:pt>
                <c:pt idx="3">
                  <c:v>74.155287811350036</c:v>
                </c:pt>
                <c:pt idx="4">
                  <c:v>74.330674843572012</c:v>
                </c:pt>
                <c:pt idx="5">
                  <c:v>74.477872251580891</c:v>
                </c:pt>
                <c:pt idx="6">
                  <c:v>74.605534188801585</c:v>
                </c:pt>
                <c:pt idx="7">
                  <c:v>74.718770557327403</c:v>
                </c:pt>
                <c:pt idx="8">
                  <c:v>74.820868041475649</c:v>
                </c:pt>
                <c:pt idx="9">
                  <c:v>74.91407447428422</c:v>
                </c:pt>
                <c:pt idx="10">
                  <c:v>75</c:v>
                </c:pt>
              </c:numCache>
            </c:numRef>
          </c:yVal>
          <c:extLst xmlns:c16r2="http://schemas.microsoft.com/office/drawing/2015/06/chart">
            <c:ext xmlns:c16="http://schemas.microsoft.com/office/drawing/2014/chart" uri="{C3380CC4-5D6E-409C-BE32-E72D297353CC}">
              <c16:uniqueId val="{00000002-6E7A-4D5F-B5B4-4750BB48CCEB}"/>
            </c:ext>
          </c:extLst>
        </c:ser>
        <c:axId val="162473856"/>
        <c:axId val="162475392"/>
      </c:scatterChart>
      <c:valAx>
        <c:axId val="162473856"/>
        <c:scaling>
          <c:orientation val="minMax"/>
        </c:scaling>
        <c:axPos val="b"/>
        <c:numFmt formatCode="General" sourceLinked="1"/>
        <c:tickLblPos val="nextTo"/>
        <c:crossAx val="162475392"/>
        <c:crosses val="autoZero"/>
        <c:crossBetween val="midCat"/>
      </c:valAx>
      <c:valAx>
        <c:axId val="162475392"/>
        <c:scaling>
          <c:orientation val="minMax"/>
        </c:scaling>
        <c:axPos val="l"/>
        <c:majorGridlines/>
        <c:numFmt formatCode="General" sourceLinked="1"/>
        <c:tickLblPos val="nextTo"/>
        <c:crossAx val="16247385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export!$B$43:$B$64</c:f>
              <c:numCache>
                <c:formatCode>General</c:formatCode>
                <c:ptCount val="22"/>
                <c:pt idx="0">
                  <c:v>1</c:v>
                </c:pt>
                <c:pt idx="1">
                  <c:v>2</c:v>
                </c:pt>
                <c:pt idx="2">
                  <c:v>3</c:v>
                </c:pt>
                <c:pt idx="3">
                  <c:v>4</c:v>
                </c:pt>
                <c:pt idx="4">
                  <c:v>5</c:v>
                </c:pt>
                <c:pt idx="5">
                  <c:v>6</c:v>
                </c:pt>
                <c:pt idx="6">
                  <c:v>7</c:v>
                </c:pt>
                <c:pt idx="7">
                  <c:v>8</c:v>
                </c:pt>
                <c:pt idx="8">
                  <c:v>9</c:v>
                </c:pt>
                <c:pt idx="9">
                  <c:v>10</c:v>
                </c:pt>
                <c:pt idx="10">
                  <c:v>11</c:v>
                </c:pt>
                <c:pt idx="12">
                  <c:v>1</c:v>
                </c:pt>
                <c:pt idx="13">
                  <c:v>2</c:v>
                </c:pt>
                <c:pt idx="14">
                  <c:v>3</c:v>
                </c:pt>
                <c:pt idx="15">
                  <c:v>4</c:v>
                </c:pt>
                <c:pt idx="16">
                  <c:v>5</c:v>
                </c:pt>
                <c:pt idx="17">
                  <c:v>6</c:v>
                </c:pt>
                <c:pt idx="18">
                  <c:v>7</c:v>
                </c:pt>
                <c:pt idx="19">
                  <c:v>8</c:v>
                </c:pt>
                <c:pt idx="20">
                  <c:v>9</c:v>
                </c:pt>
                <c:pt idx="21">
                  <c:v>10</c:v>
                </c:pt>
              </c:numCache>
            </c:numRef>
          </c:xVal>
          <c:yVal>
            <c:numRef>
              <c:f>export!$C$43:$C$64</c:f>
              <c:numCache>
                <c:formatCode>General</c:formatCode>
                <c:ptCount val="22"/>
                <c:pt idx="0">
                  <c:v>68.215782510402249</c:v>
                </c:pt>
                <c:pt idx="1">
                  <c:v>67.589388062022834</c:v>
                </c:pt>
                <c:pt idx="2">
                  <c:v>67.214008721974352</c:v>
                </c:pt>
                <c:pt idx="3">
                  <c:v>66.935435084810351</c:v>
                </c:pt>
                <c:pt idx="4">
                  <c:v>66.710296914558654</c:v>
                </c:pt>
                <c:pt idx="5">
                  <c:v>66.519657855449495</c:v>
                </c:pt>
                <c:pt idx="6">
                  <c:v>66.353381270170857</c:v>
                </c:pt>
                <c:pt idx="7">
                  <c:v>66.205345758661323</c:v>
                </c:pt>
                <c:pt idx="8">
                  <c:v>66.071544899883719</c:v>
                </c:pt>
                <c:pt idx="9">
                  <c:v>65.949200449209627</c:v>
                </c:pt>
                <c:pt idx="10">
                  <c:v>65.877414827303852</c:v>
                </c:pt>
                <c:pt idx="12">
                  <c:v>68.215782510402249</c:v>
                </c:pt>
                <c:pt idx="13">
                  <c:v>67.409271675170203</c:v>
                </c:pt>
                <c:pt idx="14">
                  <c:v>66.941962070966497</c:v>
                </c:pt>
                <c:pt idx="15">
                  <c:v>66.602892223093264</c:v>
                </c:pt>
                <c:pt idx="16">
                  <c:v>66.332839039258175</c:v>
                </c:pt>
                <c:pt idx="17">
                  <c:v>66.106484347707394</c:v>
                </c:pt>
                <c:pt idx="18">
                  <c:v>65.910533056861851</c:v>
                </c:pt>
                <c:pt idx="19">
                  <c:v>65.737082957606418</c:v>
                </c:pt>
                <c:pt idx="20">
                  <c:v>65.581029210255437</c:v>
                </c:pt>
                <c:pt idx="21">
                  <c:v>65.438870057034819</c:v>
                </c:pt>
              </c:numCache>
            </c:numRef>
          </c:yVal>
          <c:extLst xmlns:c16r2="http://schemas.microsoft.com/office/drawing/2015/06/chart">
            <c:ext xmlns:c16="http://schemas.microsoft.com/office/drawing/2014/chart" uri="{C3380CC4-5D6E-409C-BE32-E72D297353CC}">
              <c16:uniqueId val="{00000000-8716-4A66-AF4A-109E01D86DD6}"/>
            </c:ext>
          </c:extLst>
        </c:ser>
        <c:ser>
          <c:idx val="1"/>
          <c:order val="1"/>
          <c:xVal>
            <c:numRef>
              <c:f>export!$B$43:$B$64</c:f>
              <c:numCache>
                <c:formatCode>General</c:formatCode>
                <c:ptCount val="22"/>
                <c:pt idx="0">
                  <c:v>1</c:v>
                </c:pt>
                <c:pt idx="1">
                  <c:v>2</c:v>
                </c:pt>
                <c:pt idx="2">
                  <c:v>3</c:v>
                </c:pt>
                <c:pt idx="3">
                  <c:v>4</c:v>
                </c:pt>
                <c:pt idx="4">
                  <c:v>5</c:v>
                </c:pt>
                <c:pt idx="5">
                  <c:v>6</c:v>
                </c:pt>
                <c:pt idx="6">
                  <c:v>7</c:v>
                </c:pt>
                <c:pt idx="7">
                  <c:v>8</c:v>
                </c:pt>
                <c:pt idx="8">
                  <c:v>9</c:v>
                </c:pt>
                <c:pt idx="9">
                  <c:v>10</c:v>
                </c:pt>
                <c:pt idx="10">
                  <c:v>11</c:v>
                </c:pt>
                <c:pt idx="12">
                  <c:v>1</c:v>
                </c:pt>
                <c:pt idx="13">
                  <c:v>2</c:v>
                </c:pt>
                <c:pt idx="14">
                  <c:v>3</c:v>
                </c:pt>
                <c:pt idx="15">
                  <c:v>4</c:v>
                </c:pt>
                <c:pt idx="16">
                  <c:v>5</c:v>
                </c:pt>
                <c:pt idx="17">
                  <c:v>6</c:v>
                </c:pt>
                <c:pt idx="18">
                  <c:v>7</c:v>
                </c:pt>
                <c:pt idx="19">
                  <c:v>8</c:v>
                </c:pt>
                <c:pt idx="20">
                  <c:v>9</c:v>
                </c:pt>
                <c:pt idx="21">
                  <c:v>10</c:v>
                </c:pt>
              </c:numCache>
            </c:numRef>
          </c:xVal>
          <c:yVal>
            <c:numRef>
              <c:f>export!$D$43:$D$64</c:f>
              <c:numCache>
                <c:formatCode>General</c:formatCode>
                <c:ptCount val="22"/>
                <c:pt idx="0">
                  <c:v>68.215782510402249</c:v>
                </c:pt>
                <c:pt idx="1">
                  <c:v>67.589388062022834</c:v>
                </c:pt>
                <c:pt idx="2">
                  <c:v>67.214008721974352</c:v>
                </c:pt>
                <c:pt idx="3">
                  <c:v>66.935435084810351</c:v>
                </c:pt>
                <c:pt idx="4">
                  <c:v>66.710296914558654</c:v>
                </c:pt>
                <c:pt idx="5">
                  <c:v>66.519657855449495</c:v>
                </c:pt>
                <c:pt idx="6">
                  <c:v>66.353381270170857</c:v>
                </c:pt>
                <c:pt idx="7">
                  <c:v>66.205345758661323</c:v>
                </c:pt>
                <c:pt idx="8">
                  <c:v>66.071544899883719</c:v>
                </c:pt>
                <c:pt idx="9">
                  <c:v>65.949200449209627</c:v>
                </c:pt>
                <c:pt idx="10">
                  <c:v>65.877414827303852</c:v>
                </c:pt>
                <c:pt idx="12">
                  <c:v>68.215782510402249</c:v>
                </c:pt>
                <c:pt idx="13">
                  <c:v>67.409271675170203</c:v>
                </c:pt>
                <c:pt idx="14">
                  <c:v>66.941962070966497</c:v>
                </c:pt>
                <c:pt idx="15">
                  <c:v>66.602892223093264</c:v>
                </c:pt>
                <c:pt idx="16">
                  <c:v>66.332839039258175</c:v>
                </c:pt>
                <c:pt idx="17">
                  <c:v>66.106484347707394</c:v>
                </c:pt>
                <c:pt idx="18">
                  <c:v>65.910533056861851</c:v>
                </c:pt>
                <c:pt idx="19">
                  <c:v>65.737082957606418</c:v>
                </c:pt>
                <c:pt idx="20">
                  <c:v>65.581029210255437</c:v>
                </c:pt>
                <c:pt idx="21">
                  <c:v>65.438870057034819</c:v>
                </c:pt>
              </c:numCache>
            </c:numRef>
          </c:yVal>
          <c:extLst xmlns:c16r2="http://schemas.microsoft.com/office/drawing/2015/06/chart">
            <c:ext xmlns:c16="http://schemas.microsoft.com/office/drawing/2014/chart" uri="{C3380CC4-5D6E-409C-BE32-E72D297353CC}">
              <c16:uniqueId val="{00000001-8716-4A66-AF4A-109E01D86DD6}"/>
            </c:ext>
          </c:extLst>
        </c:ser>
        <c:ser>
          <c:idx val="2"/>
          <c:order val="2"/>
          <c:xVal>
            <c:numRef>
              <c:f>export!$B$43:$B$64</c:f>
              <c:numCache>
                <c:formatCode>General</c:formatCode>
                <c:ptCount val="22"/>
                <c:pt idx="0">
                  <c:v>1</c:v>
                </c:pt>
                <c:pt idx="1">
                  <c:v>2</c:v>
                </c:pt>
                <c:pt idx="2">
                  <c:v>3</c:v>
                </c:pt>
                <c:pt idx="3">
                  <c:v>4</c:v>
                </c:pt>
                <c:pt idx="4">
                  <c:v>5</c:v>
                </c:pt>
                <c:pt idx="5">
                  <c:v>6</c:v>
                </c:pt>
                <c:pt idx="6">
                  <c:v>7</c:v>
                </c:pt>
                <c:pt idx="7">
                  <c:v>8</c:v>
                </c:pt>
                <c:pt idx="8">
                  <c:v>9</c:v>
                </c:pt>
                <c:pt idx="9">
                  <c:v>10</c:v>
                </c:pt>
                <c:pt idx="10">
                  <c:v>11</c:v>
                </c:pt>
                <c:pt idx="12">
                  <c:v>1</c:v>
                </c:pt>
                <c:pt idx="13">
                  <c:v>2</c:v>
                </c:pt>
                <c:pt idx="14">
                  <c:v>3</c:v>
                </c:pt>
                <c:pt idx="15">
                  <c:v>4</c:v>
                </c:pt>
                <c:pt idx="16">
                  <c:v>5</c:v>
                </c:pt>
                <c:pt idx="17">
                  <c:v>6</c:v>
                </c:pt>
                <c:pt idx="18">
                  <c:v>7</c:v>
                </c:pt>
                <c:pt idx="19">
                  <c:v>8</c:v>
                </c:pt>
                <c:pt idx="20">
                  <c:v>9</c:v>
                </c:pt>
                <c:pt idx="21">
                  <c:v>10</c:v>
                </c:pt>
              </c:numCache>
            </c:numRef>
          </c:xVal>
          <c:yVal>
            <c:numRef>
              <c:f>export!$E$43:$E$64</c:f>
              <c:numCache>
                <c:formatCode>General</c:formatCode>
                <c:ptCount val="22"/>
                <c:pt idx="0">
                  <c:v>68.215782510402249</c:v>
                </c:pt>
                <c:pt idx="1">
                  <c:v>67.589388062022834</c:v>
                </c:pt>
                <c:pt idx="2">
                  <c:v>67.214008721974352</c:v>
                </c:pt>
                <c:pt idx="3">
                  <c:v>66.935435084810351</c:v>
                </c:pt>
                <c:pt idx="4">
                  <c:v>66.710296914558654</c:v>
                </c:pt>
                <c:pt idx="5">
                  <c:v>66.519657855449495</c:v>
                </c:pt>
                <c:pt idx="6">
                  <c:v>66.353381270170857</c:v>
                </c:pt>
                <c:pt idx="7">
                  <c:v>66.205345758661323</c:v>
                </c:pt>
                <c:pt idx="8">
                  <c:v>66.071544899883719</c:v>
                </c:pt>
                <c:pt idx="9">
                  <c:v>65.949200449209627</c:v>
                </c:pt>
                <c:pt idx="10">
                  <c:v>65.877414827303852</c:v>
                </c:pt>
                <c:pt idx="12">
                  <c:v>68.215782510402249</c:v>
                </c:pt>
                <c:pt idx="13">
                  <c:v>67.409271675170203</c:v>
                </c:pt>
                <c:pt idx="14">
                  <c:v>66.941962070966497</c:v>
                </c:pt>
                <c:pt idx="15">
                  <c:v>66.602892223093264</c:v>
                </c:pt>
                <c:pt idx="16">
                  <c:v>66.332839039258175</c:v>
                </c:pt>
                <c:pt idx="17">
                  <c:v>66.106484347707394</c:v>
                </c:pt>
                <c:pt idx="18">
                  <c:v>65.910533056861851</c:v>
                </c:pt>
                <c:pt idx="19">
                  <c:v>65.737082957606418</c:v>
                </c:pt>
                <c:pt idx="20">
                  <c:v>65.581029210255437</c:v>
                </c:pt>
                <c:pt idx="21">
                  <c:v>65.438870057034819</c:v>
                </c:pt>
              </c:numCache>
            </c:numRef>
          </c:yVal>
          <c:extLst xmlns:c16r2="http://schemas.microsoft.com/office/drawing/2015/06/chart">
            <c:ext xmlns:c16="http://schemas.microsoft.com/office/drawing/2014/chart" uri="{C3380CC4-5D6E-409C-BE32-E72D297353CC}">
              <c16:uniqueId val="{00000002-8716-4A66-AF4A-109E01D86DD6}"/>
            </c:ext>
          </c:extLst>
        </c:ser>
        <c:axId val="162499200"/>
        <c:axId val="162513280"/>
      </c:scatterChart>
      <c:valAx>
        <c:axId val="162499200"/>
        <c:scaling>
          <c:orientation val="minMax"/>
        </c:scaling>
        <c:axPos val="b"/>
        <c:numFmt formatCode="General" sourceLinked="1"/>
        <c:tickLblPos val="nextTo"/>
        <c:crossAx val="162513280"/>
        <c:crosses val="autoZero"/>
        <c:crossBetween val="midCat"/>
      </c:valAx>
      <c:valAx>
        <c:axId val="162513280"/>
        <c:scaling>
          <c:orientation val="minMax"/>
        </c:scaling>
        <c:axPos val="l"/>
        <c:majorGridlines/>
        <c:numFmt formatCode="General" sourceLinked="1"/>
        <c:tickLblPos val="nextTo"/>
        <c:crossAx val="162499200"/>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export!$B$66:$B$75</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export!$C$66:$C$75</c:f>
              <c:numCache>
                <c:formatCode>General</c:formatCode>
                <c:ptCount val="10"/>
                <c:pt idx="0">
                  <c:v>0.15538232147991884</c:v>
                </c:pt>
                <c:pt idx="1">
                  <c:v>0.27721914072452558</c:v>
                </c:pt>
                <c:pt idx="2">
                  <c:v>0.38562176283915095</c:v>
                </c:pt>
                <c:pt idx="3">
                  <c:v>0.48600455413269239</c:v>
                </c:pt>
                <c:pt idx="4">
                  <c:v>0.58080083653460468</c:v>
                </c:pt>
                <c:pt idx="5">
                  <c:v>0.67136966202079318</c:v>
                </c:pt>
                <c:pt idx="6">
                  <c:v>0.75856933964478734</c:v>
                </c:pt>
                <c:pt idx="7">
                  <c:v>0.84298682473873332</c:v>
                </c:pt>
                <c:pt idx="8">
                  <c:v>0.92504657290561476</c:v>
                </c:pt>
                <c:pt idx="9">
                  <c:v>1.0050685195501543</c:v>
                </c:pt>
              </c:numCache>
            </c:numRef>
          </c:yVal>
          <c:extLst xmlns:c16r2="http://schemas.microsoft.com/office/drawing/2015/06/chart">
            <c:ext xmlns:c16="http://schemas.microsoft.com/office/drawing/2014/chart" uri="{C3380CC4-5D6E-409C-BE32-E72D297353CC}">
              <c16:uniqueId val="{00000000-6E94-446A-8E42-6C64C4241344}"/>
            </c:ext>
          </c:extLst>
        </c:ser>
        <c:ser>
          <c:idx val="1"/>
          <c:order val="1"/>
          <c:xVal>
            <c:numRef>
              <c:f>export!$B$66:$B$75</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export!$D$66:$D$75</c:f>
              <c:numCache>
                <c:formatCode>General</c:formatCode>
                <c:ptCount val="10"/>
                <c:pt idx="0">
                  <c:v>0.15538232147991884</c:v>
                </c:pt>
                <c:pt idx="1">
                  <c:v>0.27721914072452558</c:v>
                </c:pt>
                <c:pt idx="2">
                  <c:v>0.38562176283915095</c:v>
                </c:pt>
                <c:pt idx="3">
                  <c:v>0.48600455413269239</c:v>
                </c:pt>
                <c:pt idx="4">
                  <c:v>0.58080083653460468</c:v>
                </c:pt>
                <c:pt idx="5">
                  <c:v>0.67136966202079318</c:v>
                </c:pt>
                <c:pt idx="6">
                  <c:v>0.75856933964478734</c:v>
                </c:pt>
                <c:pt idx="7">
                  <c:v>0.84298682473873332</c:v>
                </c:pt>
                <c:pt idx="8">
                  <c:v>0.92504657290561476</c:v>
                </c:pt>
                <c:pt idx="9">
                  <c:v>1.0050685195501543</c:v>
                </c:pt>
              </c:numCache>
            </c:numRef>
          </c:yVal>
          <c:extLst xmlns:c16r2="http://schemas.microsoft.com/office/drawing/2015/06/chart">
            <c:ext xmlns:c16="http://schemas.microsoft.com/office/drawing/2014/chart" uri="{C3380CC4-5D6E-409C-BE32-E72D297353CC}">
              <c16:uniqueId val="{00000001-6E94-446A-8E42-6C64C4241344}"/>
            </c:ext>
          </c:extLst>
        </c:ser>
        <c:ser>
          <c:idx val="2"/>
          <c:order val="2"/>
          <c:xVal>
            <c:numRef>
              <c:f>export!$B$66:$B$75</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export!$E$66:$E$75</c:f>
              <c:numCache>
                <c:formatCode>General</c:formatCode>
                <c:ptCount val="10"/>
                <c:pt idx="0">
                  <c:v>0.15538232147991884</c:v>
                </c:pt>
                <c:pt idx="1">
                  <c:v>0.27721914072452558</c:v>
                </c:pt>
                <c:pt idx="2">
                  <c:v>0.38562176283915095</c:v>
                </c:pt>
                <c:pt idx="3">
                  <c:v>0.48600455413269239</c:v>
                </c:pt>
                <c:pt idx="4">
                  <c:v>0.58080083653460468</c:v>
                </c:pt>
                <c:pt idx="5">
                  <c:v>0.67136966202079318</c:v>
                </c:pt>
                <c:pt idx="6">
                  <c:v>0.75856933964478734</c:v>
                </c:pt>
                <c:pt idx="7">
                  <c:v>0.84298682473873332</c:v>
                </c:pt>
                <c:pt idx="8">
                  <c:v>0.92504657290561476</c:v>
                </c:pt>
                <c:pt idx="9">
                  <c:v>1.0050685195501543</c:v>
                </c:pt>
              </c:numCache>
            </c:numRef>
          </c:yVal>
          <c:extLst xmlns:c16r2="http://schemas.microsoft.com/office/drawing/2015/06/chart">
            <c:ext xmlns:c16="http://schemas.microsoft.com/office/drawing/2014/chart" uri="{C3380CC4-5D6E-409C-BE32-E72D297353CC}">
              <c16:uniqueId val="{00000002-6E94-446A-8E42-6C64C4241344}"/>
            </c:ext>
          </c:extLst>
        </c:ser>
        <c:axId val="162609792"/>
        <c:axId val="162619776"/>
      </c:scatterChart>
      <c:valAx>
        <c:axId val="162609792"/>
        <c:scaling>
          <c:orientation val="minMax"/>
        </c:scaling>
        <c:axPos val="b"/>
        <c:numFmt formatCode="General" sourceLinked="1"/>
        <c:tickLblPos val="nextTo"/>
        <c:crossAx val="162619776"/>
        <c:crosses val="autoZero"/>
        <c:crossBetween val="midCat"/>
      </c:valAx>
      <c:valAx>
        <c:axId val="162619776"/>
        <c:scaling>
          <c:orientation val="minMax"/>
        </c:scaling>
        <c:axPos val="l"/>
        <c:majorGridlines/>
        <c:numFmt formatCode="General" sourceLinked="1"/>
        <c:tickLblPos val="nextTo"/>
        <c:crossAx val="16260979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export!$B$77:$B$86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export!$C$77:$C$86</c:f>
              <c:numCache>
                <c:formatCode>General</c:formatCode>
                <c:ptCount val="10"/>
                <c:pt idx="0">
                  <c:v>9.9999999999999982</c:v>
                </c:pt>
                <c:pt idx="1">
                  <c:v>10.119519826001401</c:v>
                </c:pt>
                <c:pt idx="2">
                  <c:v>10.462309142091973</c:v>
                </c:pt>
                <c:pt idx="3">
                  <c:v>11.08734225320735</c:v>
                </c:pt>
                <c:pt idx="4">
                  <c:v>12.039643705305295</c:v>
                </c:pt>
                <c:pt idx="5">
                  <c:v>13.356743233778181</c:v>
                </c:pt>
                <c:pt idx="6">
                  <c:v>15.071329522218527</c:v>
                </c:pt>
                <c:pt idx="7">
                  <c:v>17.212643977328597</c:v>
                </c:pt>
                <c:pt idx="8">
                  <c:v>19.807318348542104</c:v>
                </c:pt>
                <c:pt idx="9">
                  <c:v>22.87992367535719</c:v>
                </c:pt>
              </c:numCache>
            </c:numRef>
          </c:yVal>
          <c:extLst xmlns:c16r2="http://schemas.microsoft.com/office/drawing/2015/06/chart">
            <c:ext xmlns:c16="http://schemas.microsoft.com/office/drawing/2014/chart" uri="{C3380CC4-5D6E-409C-BE32-E72D297353CC}">
              <c16:uniqueId val="{00000000-EC3B-4FD6-8AEA-C00A1504F412}"/>
            </c:ext>
          </c:extLst>
        </c:ser>
        <c:ser>
          <c:idx val="1"/>
          <c:order val="1"/>
          <c:xVal>
            <c:numRef>
              <c:f>export!$B$77:$B$86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export!$D$77:$D$86</c:f>
              <c:numCache>
                <c:formatCode>General</c:formatCode>
                <c:ptCount val="10"/>
                <c:pt idx="0">
                  <c:v>9.9999999999999982</c:v>
                </c:pt>
                <c:pt idx="1">
                  <c:v>10.119519826001401</c:v>
                </c:pt>
                <c:pt idx="2">
                  <c:v>10.462309142091973</c:v>
                </c:pt>
                <c:pt idx="3">
                  <c:v>11.08734225320735</c:v>
                </c:pt>
                <c:pt idx="4">
                  <c:v>12.039643705305295</c:v>
                </c:pt>
                <c:pt idx="5">
                  <c:v>13.356743233778181</c:v>
                </c:pt>
                <c:pt idx="6">
                  <c:v>15.071329522218527</c:v>
                </c:pt>
                <c:pt idx="7">
                  <c:v>17.212643977328597</c:v>
                </c:pt>
                <c:pt idx="8">
                  <c:v>19.807318348542104</c:v>
                </c:pt>
                <c:pt idx="9">
                  <c:v>22.87992367535719</c:v>
                </c:pt>
              </c:numCache>
            </c:numRef>
          </c:yVal>
          <c:extLst xmlns:c16r2="http://schemas.microsoft.com/office/drawing/2015/06/chart">
            <c:ext xmlns:c16="http://schemas.microsoft.com/office/drawing/2014/chart" uri="{C3380CC4-5D6E-409C-BE32-E72D297353CC}">
              <c16:uniqueId val="{00000001-EC3B-4FD6-8AEA-C00A1504F412}"/>
            </c:ext>
          </c:extLst>
        </c:ser>
        <c:ser>
          <c:idx val="2"/>
          <c:order val="2"/>
          <c:xVal>
            <c:numRef>
              <c:f>export!$B$77:$B$86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export!$E$77:$E$86</c:f>
              <c:numCache>
                <c:formatCode>General</c:formatCode>
                <c:ptCount val="10"/>
                <c:pt idx="0">
                  <c:v>10</c:v>
                </c:pt>
                <c:pt idx="1">
                  <c:v>10.239039652002804</c:v>
                </c:pt>
                <c:pt idx="2">
                  <c:v>10.924618284183946</c:v>
                </c:pt>
                <c:pt idx="3">
                  <c:v>12.1746845064147</c:v>
                </c:pt>
                <c:pt idx="4">
                  <c:v>14.079287410610592</c:v>
                </c:pt>
                <c:pt idx="5">
                  <c:v>16.713486467556361</c:v>
                </c:pt>
                <c:pt idx="6">
                  <c:v>20.142659044437053</c:v>
                </c:pt>
                <c:pt idx="7">
                  <c:v>24.425287954657193</c:v>
                </c:pt>
                <c:pt idx="8">
                  <c:v>29.614636697084208</c:v>
                </c:pt>
                <c:pt idx="9">
                  <c:v>35.759847350714381</c:v>
                </c:pt>
              </c:numCache>
            </c:numRef>
          </c:yVal>
          <c:extLst xmlns:c16r2="http://schemas.microsoft.com/office/drawing/2015/06/chart">
            <c:ext xmlns:c16="http://schemas.microsoft.com/office/drawing/2014/chart" uri="{C3380CC4-5D6E-409C-BE32-E72D297353CC}">
              <c16:uniqueId val="{00000002-EC3B-4FD6-8AEA-C00A1504F412}"/>
            </c:ext>
          </c:extLst>
        </c:ser>
        <c:axId val="162653312"/>
        <c:axId val="162654848"/>
      </c:scatterChart>
      <c:valAx>
        <c:axId val="162653312"/>
        <c:scaling>
          <c:orientation val="minMax"/>
        </c:scaling>
        <c:axPos val="b"/>
        <c:numFmt formatCode="General" sourceLinked="1"/>
        <c:tickLblPos val="nextTo"/>
        <c:crossAx val="162654848"/>
        <c:crosses val="autoZero"/>
        <c:crossBetween val="midCat"/>
      </c:valAx>
      <c:valAx>
        <c:axId val="162654848"/>
        <c:scaling>
          <c:orientation val="minMax"/>
        </c:scaling>
        <c:axPos val="l"/>
        <c:majorGridlines/>
        <c:numFmt formatCode="General" sourceLinked="1"/>
        <c:tickLblPos val="nextTo"/>
        <c:crossAx val="16265331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export!$H$31:$H$40</c:f>
              <c:numCache>
                <c:formatCode>General</c:formatCode>
                <c:ptCount val="10"/>
                <c:pt idx="0">
                  <c:v>72.863423677798949</c:v>
                </c:pt>
                <c:pt idx="1">
                  <c:v>73.491758821912413</c:v>
                </c:pt>
                <c:pt idx="2">
                  <c:v>73.838196257258346</c:v>
                </c:pt>
                <c:pt idx="3">
                  <c:v>74.084465285249607</c:v>
                </c:pt>
                <c:pt idx="4">
                  <c:v>74.278241225190413</c:v>
                </c:pt>
                <c:pt idx="5">
                  <c:v>74.439321149029126</c:v>
                </c:pt>
                <c:pt idx="6">
                  <c:v>74.577914630844134</c:v>
                </c:pt>
                <c:pt idx="7">
                  <c:v>74.700012098474886</c:v>
                </c:pt>
                <c:pt idx="8">
                  <c:v>74.809445179373441</c:v>
                </c:pt>
                <c:pt idx="9">
                  <c:v>74.908821362054383</c:v>
                </c:pt>
              </c:numCache>
            </c:numRef>
          </c:val>
          <c:extLst xmlns:c16r2="http://schemas.microsoft.com/office/drawing/2015/06/chart">
            <c:ext xmlns:c16="http://schemas.microsoft.com/office/drawing/2014/chart" uri="{C3380CC4-5D6E-409C-BE32-E72D297353CC}">
              <c16:uniqueId val="{00000000-F555-47EB-9926-B9342A77BCBE}"/>
            </c:ext>
          </c:extLst>
        </c:ser>
        <c:axId val="162555776"/>
        <c:axId val="162557312"/>
      </c:barChart>
      <c:catAx>
        <c:axId val="162555776"/>
        <c:scaling>
          <c:orientation val="minMax"/>
        </c:scaling>
        <c:axPos val="b"/>
        <c:tickLblPos val="nextTo"/>
        <c:crossAx val="162557312"/>
        <c:crosses val="autoZero"/>
        <c:auto val="1"/>
        <c:lblAlgn val="ctr"/>
        <c:lblOffset val="100"/>
      </c:catAx>
      <c:valAx>
        <c:axId val="162557312"/>
        <c:scaling>
          <c:orientation val="minMax"/>
        </c:scaling>
        <c:axPos val="l"/>
        <c:majorGridlines/>
        <c:numFmt formatCode="General" sourceLinked="1"/>
        <c:tickLblPos val="nextTo"/>
        <c:crossAx val="162555776"/>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export!$B$9:$B$18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export!$G$9:$G$18</c:f>
              <c:numCache>
                <c:formatCode>General</c:formatCode>
                <c:ptCount val="10"/>
                <c:pt idx="0">
                  <c:v>0.56643544820768954</c:v>
                </c:pt>
                <c:pt idx="1">
                  <c:v>0.44151698783537063</c:v>
                </c:pt>
                <c:pt idx="2">
                  <c:v>0.38634458679687605</c:v>
                </c:pt>
                <c:pt idx="3">
                  <c:v>0.34753164757695287</c:v>
                </c:pt>
                <c:pt idx="4">
                  <c:v>0.31494397688550463</c:v>
                </c:pt>
                <c:pt idx="5">
                  <c:v>0.28567830841382208</c:v>
                </c:pt>
                <c:pt idx="6">
                  <c:v>0.25893330528012498</c:v>
                </c:pt>
                <c:pt idx="7">
                  <c:v>0.23456188080522192</c:v>
                </c:pt>
                <c:pt idx="8">
                  <c:v>0.21255247065025593</c:v>
                </c:pt>
                <c:pt idx="9">
                  <c:v>0.1928548853560966</c:v>
                </c:pt>
              </c:numCache>
            </c:numRef>
          </c:yVal>
          <c:extLst xmlns:c16r2="http://schemas.microsoft.com/office/drawing/2015/06/chart">
            <c:ext xmlns:c16="http://schemas.microsoft.com/office/drawing/2014/chart" uri="{C3380CC4-5D6E-409C-BE32-E72D297353CC}">
              <c16:uniqueId val="{00000000-F28D-40D1-AE40-23EB86AEFCC4}"/>
            </c:ext>
          </c:extLst>
        </c:ser>
        <c:ser>
          <c:idx val="1"/>
          <c:order val="1"/>
          <c:marker>
            <c:symbol val="none"/>
          </c:marker>
          <c:xVal>
            <c:numRef>
              <c:f>export!$B$9:$B$18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export!$H$9:$H$18</c:f>
              <c:numCache>
                <c:formatCode>General</c:formatCode>
                <c:ptCount val="10"/>
                <c:pt idx="0">
                  <c:v>0.48481463452306267</c:v>
                </c:pt>
                <c:pt idx="1">
                  <c:v>0.40076194736268145</c:v>
                </c:pt>
                <c:pt idx="2">
                  <c:v>0.36137285749182552</c:v>
                </c:pt>
                <c:pt idx="3">
                  <c:v>0.33239131021835738</c:v>
                </c:pt>
                <c:pt idx="4">
                  <c:v>0.30691079289481032</c:v>
                </c:pt>
                <c:pt idx="5">
                  <c:v>0.2829508764001859</c:v>
                </c:pt>
                <c:pt idx="6">
                  <c:v>0.26009222815949712</c:v>
                </c:pt>
                <c:pt idx="7">
                  <c:v>0.23845011109634123</c:v>
                </c:pt>
                <c:pt idx="8">
                  <c:v>0.21825342196838404</c:v>
                </c:pt>
                <c:pt idx="9">
                  <c:v>0.19967454377297841</c:v>
                </c:pt>
              </c:numCache>
            </c:numRef>
          </c:yVal>
          <c:extLst xmlns:c16r2="http://schemas.microsoft.com/office/drawing/2015/06/chart">
            <c:ext xmlns:c16="http://schemas.microsoft.com/office/drawing/2014/chart" uri="{C3380CC4-5D6E-409C-BE32-E72D297353CC}">
              <c16:uniqueId val="{00000001-F28D-40D1-AE40-23EB86AEFCC4}"/>
            </c:ext>
          </c:extLst>
        </c:ser>
        <c:axId val="162589696"/>
        <c:axId val="162734848"/>
      </c:scatterChart>
      <c:valAx>
        <c:axId val="162589696"/>
        <c:scaling>
          <c:orientation val="minMax"/>
        </c:scaling>
        <c:axPos val="b"/>
        <c:numFmt formatCode="General" sourceLinked="1"/>
        <c:tickLblPos val="nextTo"/>
        <c:crossAx val="162734848"/>
        <c:crosses val="autoZero"/>
        <c:crossBetween val="midCat"/>
      </c:valAx>
      <c:valAx>
        <c:axId val="162734848"/>
        <c:scaling>
          <c:orientation val="minMax"/>
        </c:scaling>
        <c:axPos val="l"/>
        <c:majorGridlines/>
        <c:numFmt formatCode="General" sourceLinked="1"/>
        <c:tickLblPos val="nextTo"/>
        <c:crossAx val="16258969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export!$B$31:$B$64</c:f>
              <c:numCache>
                <c:formatCode>General</c:formatCode>
                <c:ptCount val="34"/>
                <c:pt idx="0">
                  <c:v>1</c:v>
                </c:pt>
                <c:pt idx="1">
                  <c:v>2</c:v>
                </c:pt>
                <c:pt idx="2">
                  <c:v>3</c:v>
                </c:pt>
                <c:pt idx="3">
                  <c:v>4</c:v>
                </c:pt>
                <c:pt idx="4">
                  <c:v>5</c:v>
                </c:pt>
                <c:pt idx="5">
                  <c:v>6</c:v>
                </c:pt>
                <c:pt idx="6">
                  <c:v>7</c:v>
                </c:pt>
                <c:pt idx="7">
                  <c:v>8</c:v>
                </c:pt>
                <c:pt idx="8">
                  <c:v>9</c:v>
                </c:pt>
                <c:pt idx="9">
                  <c:v>10</c:v>
                </c:pt>
                <c:pt idx="10">
                  <c:v>11</c:v>
                </c:pt>
                <c:pt idx="12">
                  <c:v>1</c:v>
                </c:pt>
                <c:pt idx="13">
                  <c:v>2</c:v>
                </c:pt>
                <c:pt idx="14">
                  <c:v>3</c:v>
                </c:pt>
                <c:pt idx="15">
                  <c:v>4</c:v>
                </c:pt>
                <c:pt idx="16">
                  <c:v>5</c:v>
                </c:pt>
                <c:pt idx="17">
                  <c:v>6</c:v>
                </c:pt>
                <c:pt idx="18">
                  <c:v>7</c:v>
                </c:pt>
                <c:pt idx="19">
                  <c:v>8</c:v>
                </c:pt>
                <c:pt idx="20">
                  <c:v>9</c:v>
                </c:pt>
                <c:pt idx="21">
                  <c:v>10</c:v>
                </c:pt>
                <c:pt idx="22">
                  <c:v>11</c:v>
                </c:pt>
                <c:pt idx="24">
                  <c:v>1</c:v>
                </c:pt>
                <c:pt idx="25">
                  <c:v>2</c:v>
                </c:pt>
                <c:pt idx="26">
                  <c:v>3</c:v>
                </c:pt>
                <c:pt idx="27">
                  <c:v>4</c:v>
                </c:pt>
                <c:pt idx="28">
                  <c:v>5</c:v>
                </c:pt>
                <c:pt idx="29">
                  <c:v>6</c:v>
                </c:pt>
                <c:pt idx="30">
                  <c:v>7</c:v>
                </c:pt>
                <c:pt idx="31">
                  <c:v>8</c:v>
                </c:pt>
                <c:pt idx="32">
                  <c:v>9</c:v>
                </c:pt>
                <c:pt idx="33">
                  <c:v>10</c:v>
                </c:pt>
              </c:numCache>
            </c:numRef>
          </c:xVal>
          <c:yVal>
            <c:numRef>
              <c:f>export!$G$31:$G$64</c:f>
              <c:numCache>
                <c:formatCode>General</c:formatCode>
                <c:ptCount val="34"/>
                <c:pt idx="0">
                  <c:v>73.090538090612583</c:v>
                </c:pt>
                <c:pt idx="1">
                  <c:v>73.630183010761087</c:v>
                </c:pt>
                <c:pt idx="2">
                  <c:v>73.935051262959689</c:v>
                </c:pt>
                <c:pt idx="3">
                  <c:v>74.155287811350036</c:v>
                </c:pt>
                <c:pt idx="4">
                  <c:v>74.330674843572012</c:v>
                </c:pt>
                <c:pt idx="5">
                  <c:v>74.477872251580891</c:v>
                </c:pt>
                <c:pt idx="6">
                  <c:v>74.605534188801585</c:v>
                </c:pt>
                <c:pt idx="7">
                  <c:v>74.718770557327403</c:v>
                </c:pt>
                <c:pt idx="8">
                  <c:v>74.820868041475649</c:v>
                </c:pt>
                <c:pt idx="9">
                  <c:v>74.91407447428422</c:v>
                </c:pt>
                <c:pt idx="10">
                  <c:v>75</c:v>
                </c:pt>
                <c:pt idx="12">
                  <c:v>68.215782510402249</c:v>
                </c:pt>
                <c:pt idx="13">
                  <c:v>67.589388062022834</c:v>
                </c:pt>
                <c:pt idx="14">
                  <c:v>67.214008721974352</c:v>
                </c:pt>
                <c:pt idx="15">
                  <c:v>66.935435084810351</c:v>
                </c:pt>
                <c:pt idx="16">
                  <c:v>66.710296914558654</c:v>
                </c:pt>
                <c:pt idx="17">
                  <c:v>66.519657855449495</c:v>
                </c:pt>
                <c:pt idx="18">
                  <c:v>66.353381270170857</c:v>
                </c:pt>
                <c:pt idx="19">
                  <c:v>66.205345758661323</c:v>
                </c:pt>
                <c:pt idx="20">
                  <c:v>66.071544899883719</c:v>
                </c:pt>
                <c:pt idx="21">
                  <c:v>65.949200449209627</c:v>
                </c:pt>
                <c:pt idx="22">
                  <c:v>65.877414827303852</c:v>
                </c:pt>
                <c:pt idx="24">
                  <c:v>68.215782510402249</c:v>
                </c:pt>
                <c:pt idx="25">
                  <c:v>67.409271675170203</c:v>
                </c:pt>
                <c:pt idx="26">
                  <c:v>66.941962070966497</c:v>
                </c:pt>
                <c:pt idx="27">
                  <c:v>66.602892223093264</c:v>
                </c:pt>
                <c:pt idx="28">
                  <c:v>66.332839039258175</c:v>
                </c:pt>
                <c:pt idx="29">
                  <c:v>66.106484347707394</c:v>
                </c:pt>
                <c:pt idx="30">
                  <c:v>65.910533056861851</c:v>
                </c:pt>
                <c:pt idx="31">
                  <c:v>65.737082957606418</c:v>
                </c:pt>
                <c:pt idx="32">
                  <c:v>65.581029210255437</c:v>
                </c:pt>
                <c:pt idx="33">
                  <c:v>65.438870057034819</c:v>
                </c:pt>
              </c:numCache>
            </c:numRef>
          </c:yVal>
          <c:extLst xmlns:c16r2="http://schemas.microsoft.com/office/drawing/2015/06/chart">
            <c:ext xmlns:c16="http://schemas.microsoft.com/office/drawing/2014/chart" uri="{C3380CC4-5D6E-409C-BE32-E72D297353CC}">
              <c16:uniqueId val="{00000000-28B9-443D-9952-8F3B583370CE}"/>
            </c:ext>
          </c:extLst>
        </c:ser>
        <c:ser>
          <c:idx val="1"/>
          <c:order val="1"/>
          <c:marker>
            <c:symbol val="none"/>
          </c:marker>
          <c:xVal>
            <c:numRef>
              <c:f>export!$B$31:$B$64</c:f>
              <c:numCache>
                <c:formatCode>General</c:formatCode>
                <c:ptCount val="34"/>
                <c:pt idx="0">
                  <c:v>1</c:v>
                </c:pt>
                <c:pt idx="1">
                  <c:v>2</c:v>
                </c:pt>
                <c:pt idx="2">
                  <c:v>3</c:v>
                </c:pt>
                <c:pt idx="3">
                  <c:v>4</c:v>
                </c:pt>
                <c:pt idx="4">
                  <c:v>5</c:v>
                </c:pt>
                <c:pt idx="5">
                  <c:v>6</c:v>
                </c:pt>
                <c:pt idx="6">
                  <c:v>7</c:v>
                </c:pt>
                <c:pt idx="7">
                  <c:v>8</c:v>
                </c:pt>
                <c:pt idx="8">
                  <c:v>9</c:v>
                </c:pt>
                <c:pt idx="9">
                  <c:v>10</c:v>
                </c:pt>
                <c:pt idx="10">
                  <c:v>11</c:v>
                </c:pt>
                <c:pt idx="12">
                  <c:v>1</c:v>
                </c:pt>
                <c:pt idx="13">
                  <c:v>2</c:v>
                </c:pt>
                <c:pt idx="14">
                  <c:v>3</c:v>
                </c:pt>
                <c:pt idx="15">
                  <c:v>4</c:v>
                </c:pt>
                <c:pt idx="16">
                  <c:v>5</c:v>
                </c:pt>
                <c:pt idx="17">
                  <c:v>6</c:v>
                </c:pt>
                <c:pt idx="18">
                  <c:v>7</c:v>
                </c:pt>
                <c:pt idx="19">
                  <c:v>8</c:v>
                </c:pt>
                <c:pt idx="20">
                  <c:v>9</c:v>
                </c:pt>
                <c:pt idx="21">
                  <c:v>10</c:v>
                </c:pt>
                <c:pt idx="22">
                  <c:v>11</c:v>
                </c:pt>
                <c:pt idx="24">
                  <c:v>1</c:v>
                </c:pt>
                <c:pt idx="25">
                  <c:v>2</c:v>
                </c:pt>
                <c:pt idx="26">
                  <c:v>3</c:v>
                </c:pt>
                <c:pt idx="27">
                  <c:v>4</c:v>
                </c:pt>
                <c:pt idx="28">
                  <c:v>5</c:v>
                </c:pt>
                <c:pt idx="29">
                  <c:v>6</c:v>
                </c:pt>
                <c:pt idx="30">
                  <c:v>7</c:v>
                </c:pt>
                <c:pt idx="31">
                  <c:v>8</c:v>
                </c:pt>
                <c:pt idx="32">
                  <c:v>9</c:v>
                </c:pt>
                <c:pt idx="33">
                  <c:v>10</c:v>
                </c:pt>
              </c:numCache>
            </c:numRef>
          </c:xVal>
          <c:yVal>
            <c:numRef>
              <c:f>export!$H$31:$H$64</c:f>
              <c:numCache>
                <c:formatCode>General</c:formatCode>
                <c:ptCount val="34"/>
                <c:pt idx="0">
                  <c:v>72.863423677798949</c:v>
                </c:pt>
                <c:pt idx="1">
                  <c:v>73.491758821912413</c:v>
                </c:pt>
                <c:pt idx="2">
                  <c:v>73.838196257258346</c:v>
                </c:pt>
                <c:pt idx="3">
                  <c:v>74.084465285249607</c:v>
                </c:pt>
                <c:pt idx="4">
                  <c:v>74.278241225190413</c:v>
                </c:pt>
                <c:pt idx="5">
                  <c:v>74.439321149029126</c:v>
                </c:pt>
                <c:pt idx="6">
                  <c:v>74.577914630844134</c:v>
                </c:pt>
                <c:pt idx="7">
                  <c:v>74.700012098474886</c:v>
                </c:pt>
                <c:pt idx="8">
                  <c:v>74.809445179373441</c:v>
                </c:pt>
                <c:pt idx="9">
                  <c:v>74.908821362054383</c:v>
                </c:pt>
                <c:pt idx="10">
                  <c:v>75</c:v>
                </c:pt>
                <c:pt idx="12">
                  <c:v>67.166333039980159</c:v>
                </c:pt>
                <c:pt idx="13">
                  <c:v>66.619335497692148</c:v>
                </c:pt>
                <c:pt idx="14">
                  <c:v>66.321058419924285</c:v>
                </c:pt>
                <c:pt idx="15">
                  <c:v>66.109947440716638</c:v>
                </c:pt>
                <c:pt idx="16">
                  <c:v>65.944291904231306</c:v>
                </c:pt>
                <c:pt idx="17">
                  <c:v>65.806883898710566</c:v>
                </c:pt>
                <c:pt idx="18">
                  <c:v>65.688877952326195</c:v>
                </c:pt>
                <c:pt idx="19">
                  <c:v>65.585093409082816</c:v>
                </c:pt>
                <c:pt idx="20">
                  <c:v>65.492220188269414</c:v>
                </c:pt>
                <c:pt idx="21">
                  <c:v>65.408007286932289</c:v>
                </c:pt>
                <c:pt idx="22">
                  <c:v>65.332730191364163</c:v>
                </c:pt>
                <c:pt idx="24">
                  <c:v>67.166333039980159</c:v>
                </c:pt>
                <c:pt idx="25">
                  <c:v>66.627809920676512</c:v>
                </c:pt>
                <c:pt idx="26">
                  <c:v>66.325180134694733</c:v>
                </c:pt>
                <c:pt idx="27">
                  <c:v>66.109252108772694</c:v>
                </c:pt>
                <c:pt idx="28">
                  <c:v>65.939261940926059</c:v>
                </c:pt>
                <c:pt idx="29">
                  <c:v>65.798035783804494</c:v>
                </c:pt>
                <c:pt idx="30">
                  <c:v>65.67664929564819</c:v>
                </c:pt>
                <c:pt idx="31">
                  <c:v>65.569841754311383</c:v>
                </c:pt>
                <c:pt idx="32">
                  <c:v>65.474237899650703</c:v>
                </c:pt>
                <c:pt idx="33">
                  <c:v>65.387535902187693</c:v>
                </c:pt>
              </c:numCache>
            </c:numRef>
          </c:yVal>
          <c:extLst xmlns:c16r2="http://schemas.microsoft.com/office/drawing/2015/06/chart">
            <c:ext xmlns:c16="http://schemas.microsoft.com/office/drawing/2014/chart" uri="{C3380CC4-5D6E-409C-BE32-E72D297353CC}">
              <c16:uniqueId val="{00000001-28B9-443D-9952-8F3B583370CE}"/>
            </c:ext>
          </c:extLst>
        </c:ser>
        <c:axId val="162759424"/>
        <c:axId val="162760960"/>
      </c:scatterChart>
      <c:valAx>
        <c:axId val="162759424"/>
        <c:scaling>
          <c:orientation val="minMax"/>
        </c:scaling>
        <c:axPos val="b"/>
        <c:numFmt formatCode="General" sourceLinked="1"/>
        <c:tickLblPos val="nextTo"/>
        <c:crossAx val="162760960"/>
        <c:crosses val="autoZero"/>
        <c:crossBetween val="midCat"/>
      </c:valAx>
      <c:valAx>
        <c:axId val="162760960"/>
        <c:scaling>
          <c:orientation val="minMax"/>
          <c:max val="76"/>
          <c:min val="60"/>
        </c:scaling>
        <c:axPos val="l"/>
        <c:majorGridlines/>
        <c:numFmt formatCode="General" sourceLinked="1"/>
        <c:tickLblPos val="nextTo"/>
        <c:crossAx val="162759424"/>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'kominovy tah'!$J$7:$J$21</c:f>
              <c:numCache>
                <c:formatCode>General</c:formatCode>
                <c:ptCount val="15"/>
                <c:pt idx="0">
                  <c:v>1.0227694465064741</c:v>
                </c:pt>
                <c:pt idx="1">
                  <c:v>0.99809622557432109</c:v>
                </c:pt>
                <c:pt idx="2">
                  <c:v>1.01672260609762</c:v>
                </c:pt>
                <c:pt idx="3">
                  <c:v>0</c:v>
                </c:pt>
                <c:pt idx="4">
                  <c:v>0.58778665185182222</c:v>
                </c:pt>
                <c:pt idx="5">
                  <c:v>0.9914764129311946</c:v>
                </c:pt>
                <c:pt idx="6">
                  <c:v>0.98438193335216828</c:v>
                </c:pt>
                <c:pt idx="7">
                  <c:v>0</c:v>
                </c:pt>
                <c:pt idx="8">
                  <c:v>1.0105789339365132</c:v>
                </c:pt>
                <c:pt idx="9">
                  <c:v>0.60690276754712902</c:v>
                </c:pt>
                <c:pt idx="10">
                  <c:v>0.9771980193989922</c:v>
                </c:pt>
                <c:pt idx="11">
                  <c:v>0</c:v>
                </c:pt>
                <c:pt idx="12">
                  <c:v>0.99965992867960762</c:v>
                </c:pt>
                <c:pt idx="13">
                  <c:v>0</c:v>
                </c:pt>
                <c:pt idx="14">
                  <c:v>0.99934724544144016</c:v>
                </c:pt>
              </c:numCache>
            </c:numRef>
          </c:val>
          <c:extLst xmlns:c16r2="http://schemas.microsoft.com/office/drawing/2015/06/chart">
            <c:ext xmlns:c16="http://schemas.microsoft.com/office/drawing/2014/chart" uri="{C3380CC4-5D6E-409C-BE32-E72D297353CC}">
              <c16:uniqueId val="{00000000-C92C-422C-8F2C-244B180A8122}"/>
            </c:ext>
          </c:extLst>
        </c:ser>
        <c:axId val="162834304"/>
        <c:axId val="162835840"/>
      </c:barChart>
      <c:catAx>
        <c:axId val="162834304"/>
        <c:scaling>
          <c:orientation val="minMax"/>
        </c:scaling>
        <c:axPos val="b"/>
        <c:tickLblPos val="nextTo"/>
        <c:crossAx val="162835840"/>
        <c:crosses val="autoZero"/>
        <c:auto val="1"/>
        <c:lblAlgn val="ctr"/>
        <c:lblOffset val="100"/>
      </c:catAx>
      <c:valAx>
        <c:axId val="162835840"/>
        <c:scaling>
          <c:orientation val="minMax"/>
        </c:scaling>
        <c:axPos val="l"/>
        <c:majorGridlines/>
        <c:numFmt formatCode="General" sourceLinked="1"/>
        <c:tickLblPos val="nextTo"/>
        <c:crossAx val="162834304"/>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val>
            <c:numRef>
              <c:f>'10 těles'!$CC$35:$CC$43</c:f>
              <c:numCache>
                <c:formatCode>General</c:formatCode>
                <c:ptCount val="9"/>
                <c:pt idx="0">
                  <c:v>1</c:v>
                </c:pt>
                <c:pt idx="1">
                  <c:v>1.5</c:v>
                </c:pt>
                <c:pt idx="2">
                  <c:v>2</c:v>
                </c:pt>
                <c:pt idx="3">
                  <c:v>2.5</c:v>
                </c:pt>
                <c:pt idx="4">
                  <c:v>3</c:v>
                </c:pt>
                <c:pt idx="5">
                  <c:v>3.5</c:v>
                </c:pt>
                <c:pt idx="6">
                  <c:v>4</c:v>
                </c:pt>
                <c:pt idx="7">
                  <c:v>4.5</c:v>
                </c:pt>
                <c:pt idx="8">
                  <c:v>5</c:v>
                </c:pt>
              </c:numCache>
            </c:numRef>
          </c:val>
          <c:extLst xmlns:c16r2="http://schemas.microsoft.com/office/drawing/2015/06/chart">
            <c:ext xmlns:c16="http://schemas.microsoft.com/office/drawing/2014/chart" uri="{C3380CC4-5D6E-409C-BE32-E72D297353CC}">
              <c16:uniqueId val="{00000000-FA97-468C-A471-E7A6D4311117}"/>
            </c:ext>
          </c:extLst>
        </c:ser>
        <c:ser>
          <c:idx val="3"/>
          <c:order val="1"/>
          <c:val>
            <c:numRef>
              <c:f>'10 těles'!$CF$35:$CF$43</c:f>
              <c:numCache>
                <c:formatCode>General</c:formatCode>
                <c:ptCount val="9"/>
                <c:pt idx="0">
                  <c:v>-0.44615655534953857</c:v>
                </c:pt>
                <c:pt idx="1">
                  <c:v>0.79637709987606931</c:v>
                </c:pt>
                <c:pt idx="2">
                  <c:v>1.5908659407260382</c:v>
                </c:pt>
                <c:pt idx="3">
                  <c:v>2.245230314495001</c:v>
                </c:pt>
                <c:pt idx="4">
                  <c:v>2.748062244045955</c:v>
                </c:pt>
                <c:pt idx="5">
                  <c:v>3.0985922858381172</c:v>
                </c:pt>
                <c:pt idx="6">
                  <c:v>3.716892184392421</c:v>
                </c:pt>
                <c:pt idx="7">
                  <c:v>4.3148934794812162</c:v>
                </c:pt>
                <c:pt idx="8">
                  <c:v>4.8547676956552888</c:v>
                </c:pt>
              </c:numCache>
            </c:numRef>
          </c:val>
          <c:extLst xmlns:c16r2="http://schemas.microsoft.com/office/drawing/2015/06/chart">
            <c:ext xmlns:c16="http://schemas.microsoft.com/office/drawing/2014/chart" uri="{C3380CC4-5D6E-409C-BE32-E72D297353CC}">
              <c16:uniqueId val="{00000001-FA97-468C-A471-E7A6D4311117}"/>
            </c:ext>
          </c:extLst>
        </c:ser>
        <c:marker val="1"/>
        <c:axId val="153536000"/>
        <c:axId val="153537536"/>
      </c:lineChart>
      <c:catAx>
        <c:axId val="153536000"/>
        <c:scaling>
          <c:orientation val="minMax"/>
        </c:scaling>
        <c:axPos val="b"/>
        <c:tickLblPos val="nextTo"/>
        <c:crossAx val="153537536"/>
        <c:crosses val="autoZero"/>
        <c:auto val="1"/>
        <c:lblAlgn val="ctr"/>
        <c:lblOffset val="100"/>
      </c:catAx>
      <c:valAx>
        <c:axId val="153537536"/>
        <c:scaling>
          <c:orientation val="minMax"/>
        </c:scaling>
        <c:axPos val="l"/>
        <c:majorGridlines/>
        <c:numFmt formatCode="General" sourceLinked="1"/>
        <c:tickLblPos val="nextTo"/>
        <c:crossAx val="153536000"/>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Průtok tělesy kg/hod</a:t>
            </a:r>
          </a:p>
        </c:rich>
      </c:tx>
    </c:title>
    <c:plotArea>
      <c:layout/>
      <c:scatterChart>
        <c:scatterStyle val="lineMarker"/>
        <c:ser>
          <c:idx val="0"/>
          <c:order val="0"/>
          <c:tx>
            <c:strRef>
              <c:f>'10 těles'!$X$69</c:f>
              <c:strCache>
                <c:ptCount val="1"/>
                <c:pt idx="0">
                  <c:v>kg/hod</c:v>
                </c:pt>
              </c:strCache>
            </c:strRef>
          </c:tx>
          <c:xVal>
            <c:numRef>
              <c:f>'10 těles'!$A$81:$A$90</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'10 těles'!$X$81:$X$90</c:f>
              <c:numCache>
                <c:formatCode>General</c:formatCode>
                <c:ptCount val="10"/>
                <c:pt idx="0">
                  <c:v>163.08432716196236</c:v>
                </c:pt>
                <c:pt idx="1">
                  <c:v>141.88490675335439</c:v>
                </c:pt>
                <c:pt idx="2">
                  <c:v>129.55667705356018</c:v>
                </c:pt>
                <c:pt idx="3">
                  <c:v>120.66516432957383</c:v>
                </c:pt>
                <c:pt idx="4">
                  <c:v>113.66906398011282</c:v>
                </c:pt>
                <c:pt idx="5">
                  <c:v>107.89379449639537</c:v>
                </c:pt>
                <c:pt idx="6">
                  <c:v>102.97775642436926</c:v>
                </c:pt>
                <c:pt idx="7">
                  <c:v>98.702356997074034</c:v>
                </c:pt>
                <c:pt idx="8">
                  <c:v>94.924423710679775</c:v>
                </c:pt>
                <c:pt idx="9">
                  <c:v>91.544637262709557</c:v>
                </c:pt>
              </c:numCache>
            </c:numRef>
          </c:yVal>
          <c:extLst xmlns:c16r2="http://schemas.microsoft.com/office/drawing/2015/06/chart">
            <c:ext xmlns:c16="http://schemas.microsoft.com/office/drawing/2014/chart" uri="{C3380CC4-5D6E-409C-BE32-E72D297353CC}">
              <c16:uniqueId val="{00000000-7067-4A6E-9988-442189654B0D}"/>
            </c:ext>
          </c:extLst>
        </c:ser>
        <c:axId val="153565056"/>
        <c:axId val="153566592"/>
      </c:scatterChart>
      <c:valAx>
        <c:axId val="153565056"/>
        <c:scaling>
          <c:orientation val="minMax"/>
          <c:max val="10"/>
        </c:scaling>
        <c:axPos val="b"/>
        <c:numFmt formatCode="General" sourceLinked="1"/>
        <c:tickLblPos val="nextTo"/>
        <c:crossAx val="153566592"/>
        <c:crosses val="autoZero"/>
        <c:crossBetween val="midCat"/>
      </c:valAx>
      <c:valAx>
        <c:axId val="153566592"/>
        <c:scaling>
          <c:orientation val="minMax"/>
        </c:scaling>
        <c:axPos val="l"/>
        <c:majorGridlines/>
        <c:numFmt formatCode="General" sourceLinked="1"/>
        <c:tickLblPos val="nextTo"/>
        <c:crossAx val="153565056"/>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a:t>Kv ventilů</a:t>
            </a:r>
          </a:p>
        </c:rich>
      </c:tx>
    </c:title>
    <c:plotArea>
      <c:layout/>
      <c:scatterChart>
        <c:scatterStyle val="lineMarker"/>
        <c:ser>
          <c:idx val="0"/>
          <c:order val="0"/>
          <c:tx>
            <c:strRef>
              <c:f>'10 těles'!$AB$69</c:f>
              <c:strCache>
                <c:ptCount val="1"/>
                <c:pt idx="0">
                  <c:v>Kv m3/hod před iter</c:v>
                </c:pt>
              </c:strCache>
            </c:strRef>
          </c:tx>
          <c:xVal>
            <c:numRef>
              <c:f>'10 těles'!$A$81:$A$90</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'10 těles'!$AB$81:$AB$90</c:f>
              <c:numCache>
                <c:formatCode>General</c:formatCode>
                <c:ptCount val="10"/>
                <c:pt idx="0">
                  <c:v>0.67897419779773593</c:v>
                </c:pt>
                <c:pt idx="1">
                  <c:v>0.46014744614747599</c:v>
                </c:pt>
                <c:pt idx="2">
                  <c:v>0.37979329202665996</c:v>
                </c:pt>
                <c:pt idx="3">
                  <c:v>0.33294875628119347</c:v>
                </c:pt>
                <c:pt idx="4">
                  <c:v>0.30071127761540628</c:v>
                </c:pt>
                <c:pt idx="5">
                  <c:v>0.27651720797339169</c:v>
                </c:pt>
                <c:pt idx="6">
                  <c:v>0.25736362170150373</c:v>
                </c:pt>
                <c:pt idx="7">
                  <c:v>0.24164085711599656</c:v>
                </c:pt>
                <c:pt idx="8">
                  <c:v>0.22839151592549575</c:v>
                </c:pt>
                <c:pt idx="9">
                  <c:v>0.21700251143077734</c:v>
                </c:pt>
              </c:numCache>
            </c:numRef>
          </c:yVal>
          <c:extLst xmlns:c16r2="http://schemas.microsoft.com/office/drawing/2015/06/chart">
            <c:ext xmlns:c16="http://schemas.microsoft.com/office/drawing/2014/chart" uri="{C3380CC4-5D6E-409C-BE32-E72D297353CC}">
              <c16:uniqueId val="{00000000-0988-41F9-8623-2F5738B20BAA}"/>
            </c:ext>
          </c:extLst>
        </c:ser>
        <c:axId val="153607552"/>
        <c:axId val="153617536"/>
      </c:scatterChart>
      <c:valAx>
        <c:axId val="153607552"/>
        <c:scaling>
          <c:orientation val="minMax"/>
          <c:max val="10"/>
        </c:scaling>
        <c:axPos val="b"/>
        <c:numFmt formatCode="General" sourceLinked="1"/>
        <c:tickLblPos val="nextTo"/>
        <c:crossAx val="153617536"/>
        <c:crosses val="autoZero"/>
        <c:crossBetween val="midCat"/>
      </c:valAx>
      <c:valAx>
        <c:axId val="153617536"/>
        <c:scaling>
          <c:orientation val="minMax"/>
        </c:scaling>
        <c:axPos val="l"/>
        <c:majorGridlines/>
        <c:numFmt formatCode="General" sourceLinked="1"/>
        <c:tickLblPos val="nextTo"/>
        <c:crossAx val="15360755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a:t>Předn 1-6</a:t>
            </a:r>
          </a:p>
        </c:rich>
      </c:tx>
    </c:title>
    <c:plotArea>
      <c:layout/>
      <c:scatterChart>
        <c:scatterStyle val="lineMarker"/>
        <c:ser>
          <c:idx val="0"/>
          <c:order val="0"/>
          <c:tx>
            <c:strRef>
              <c:f>'10 těles'!$Z$69</c:f>
              <c:strCache>
                <c:ptCount val="1"/>
                <c:pt idx="0">
                  <c:v>1 az 6</c:v>
                </c:pt>
              </c:strCache>
            </c:strRef>
          </c:tx>
          <c:xVal>
            <c:numRef>
              <c:f>'10 těles'!$A$81:$A$90</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'10 těles'!$Z$81:$Z$90</c:f>
              <c:numCache>
                <c:formatCode>General</c:formatCode>
                <c:ptCount val="10"/>
                <c:pt idx="0">
                  <c:v>5.7378522857875636</c:v>
                </c:pt>
                <c:pt idx="1">
                  <c:v>4.7579060088487033</c:v>
                </c:pt>
                <c:pt idx="2">
                  <c:v>4.2744775973733038</c:v>
                </c:pt>
                <c:pt idx="3">
                  <c:v>3.9428922182812451</c:v>
                </c:pt>
                <c:pt idx="4">
                  <c:v>3.6863716677326157</c:v>
                </c:pt>
                <c:pt idx="5">
                  <c:v>3.4879753816906232</c:v>
                </c:pt>
                <c:pt idx="6">
                  <c:v>3.4006853714834486</c:v>
                </c:pt>
                <c:pt idx="7">
                  <c:v>3.3240303540691301</c:v>
                </c:pt>
                <c:pt idx="8">
                  <c:v>3.2554572328842899</c:v>
                </c:pt>
                <c:pt idx="9">
                  <c:v>3.1932546532313548</c:v>
                </c:pt>
              </c:numCache>
            </c:numRef>
          </c:yVal>
          <c:extLst xmlns:c16r2="http://schemas.microsoft.com/office/drawing/2015/06/chart">
            <c:ext xmlns:c16="http://schemas.microsoft.com/office/drawing/2014/chart" uri="{C3380CC4-5D6E-409C-BE32-E72D297353CC}">
              <c16:uniqueId val="{00000000-A797-4BA7-8D62-71965F0C6CD2}"/>
            </c:ext>
          </c:extLst>
        </c:ser>
        <c:axId val="153641344"/>
        <c:axId val="153642880"/>
      </c:scatterChart>
      <c:valAx>
        <c:axId val="153641344"/>
        <c:scaling>
          <c:orientation val="minMax"/>
          <c:max val="10"/>
        </c:scaling>
        <c:axPos val="b"/>
        <c:numFmt formatCode="General" sourceLinked="1"/>
        <c:tickLblPos val="nextTo"/>
        <c:crossAx val="153642880"/>
        <c:crosses val="autoZero"/>
        <c:crossBetween val="midCat"/>
      </c:valAx>
      <c:valAx>
        <c:axId val="153642880"/>
        <c:scaling>
          <c:orientation val="minMax"/>
          <c:min val="0"/>
        </c:scaling>
        <c:axPos val="l"/>
        <c:majorGridlines/>
        <c:numFmt formatCode="General" sourceLinked="1"/>
        <c:tickLblPos val="nextTo"/>
        <c:crossAx val="15364134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Průběh tlaků (kPa)</a:t>
            </a:r>
          </a:p>
        </c:rich>
      </c:tx>
    </c:title>
    <c:plotArea>
      <c:layout/>
      <c:scatterChart>
        <c:scatterStyle val="lineMarker"/>
        <c:ser>
          <c:idx val="0"/>
          <c:order val="0"/>
          <c:tx>
            <c:strRef>
              <c:f>'10 těles'!$AD$69</c:f>
              <c:strCache>
                <c:ptCount val="1"/>
                <c:pt idx="0">
                  <c:v>součet tlaků</c:v>
                </c:pt>
              </c:strCache>
            </c:strRef>
          </c:tx>
          <c:xVal>
            <c:numRef>
              <c:f>'10 těles'!$A$81:$A$90</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'10 těles'!$AD$81:$AD$90</c:f>
              <c:numCache>
                <c:formatCode>General</c:formatCode>
                <c:ptCount val="10"/>
                <c:pt idx="0">
                  <c:v>9.8880739451401354</c:v>
                </c:pt>
                <c:pt idx="1">
                  <c:v>12.102033768134346</c:v>
                </c:pt>
                <c:pt idx="2">
                  <c:v>13.659737789928247</c:v>
                </c:pt>
                <c:pt idx="3">
                  <c:v>14.859988564373886</c:v>
                </c:pt>
                <c:pt idx="4">
                  <c:v>15.833683043767973</c:v>
                </c:pt>
                <c:pt idx="5">
                  <c:v>16.650446022078693</c:v>
                </c:pt>
                <c:pt idx="6">
                  <c:v>17.351924589632301</c:v>
                </c:pt>
                <c:pt idx="7">
                  <c:v>17.965087776644037</c:v>
                </c:pt>
                <c:pt idx="8">
                  <c:v>18.508432330629041</c:v>
                </c:pt>
                <c:pt idx="9">
                  <c:v>18.995209816619738</c:v>
                </c:pt>
              </c:numCache>
            </c:numRef>
          </c:yVal>
          <c:extLst xmlns:c16r2="http://schemas.microsoft.com/office/drawing/2015/06/chart">
            <c:ext xmlns:c16="http://schemas.microsoft.com/office/drawing/2014/chart" uri="{C3380CC4-5D6E-409C-BE32-E72D297353CC}">
              <c16:uniqueId val="{00000000-BF26-4148-8141-EC2E930EF528}"/>
            </c:ext>
          </c:extLst>
        </c:ser>
        <c:axId val="153683072"/>
        <c:axId val="153684608"/>
      </c:scatterChart>
      <c:valAx>
        <c:axId val="153683072"/>
        <c:scaling>
          <c:orientation val="minMax"/>
          <c:max val="10"/>
        </c:scaling>
        <c:axPos val="b"/>
        <c:numFmt formatCode="General" sourceLinked="1"/>
        <c:tickLblPos val="nextTo"/>
        <c:crossAx val="153684608"/>
        <c:crosses val="autoZero"/>
        <c:crossBetween val="midCat"/>
      </c:valAx>
      <c:valAx>
        <c:axId val="153684608"/>
        <c:scaling>
          <c:orientation val="minMax"/>
        </c:scaling>
        <c:axPos val="l"/>
        <c:majorGridlines/>
        <c:numFmt formatCode="General" sourceLinked="1"/>
        <c:tickLblPos val="nextTo"/>
        <c:crossAx val="15368307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cs-CZ"/>
  <c:chart>
    <c:plotArea>
      <c:layout/>
      <c:barChart>
        <c:barDir val="bar"/>
        <c:grouping val="clustered"/>
        <c:ser>
          <c:idx val="0"/>
          <c:order val="0"/>
          <c:val>
            <c:numRef>
              <c:f>'10 těles'!$M$26:$M$35</c:f>
              <c:numCache>
                <c:formatCode>General</c:formatCode>
                <c:ptCount val="10"/>
                <c:pt idx="0">
                  <c:v>0.57708537566157947</c:v>
                </c:pt>
                <c:pt idx="1">
                  <c:v>0.5395775546980125</c:v>
                </c:pt>
                <c:pt idx="2">
                  <c:v>0.51253351140466707</c:v>
                </c:pt>
                <c:pt idx="3">
                  <c:v>0.49114567878489984</c:v>
                </c:pt>
                <c:pt idx="4">
                  <c:v>0.47336174046607465</c:v>
                </c:pt>
                <c:pt idx="5">
                  <c:v>0.45809974862877978</c:v>
                </c:pt>
                <c:pt idx="6">
                  <c:v>0.44471321918882234</c:v>
                </c:pt>
                <c:pt idx="7">
                  <c:v>0.43278222186677373</c:v>
                </c:pt>
                <c:pt idx="8">
                  <c:v>0.42201717028665642</c:v>
                </c:pt>
                <c:pt idx="9">
                  <c:v>0.41220916778831973</c:v>
                </c:pt>
              </c:numCache>
            </c:numRef>
          </c:val>
          <c:extLst xmlns:c16r2="http://schemas.microsoft.com/office/drawing/2015/06/chart">
            <c:ext xmlns:c16="http://schemas.microsoft.com/office/drawing/2014/chart" uri="{C3380CC4-5D6E-409C-BE32-E72D297353CC}">
              <c16:uniqueId val="{00000000-673B-488E-B2BE-4CC014064791}"/>
            </c:ext>
          </c:extLst>
        </c:ser>
        <c:axId val="153712512"/>
        <c:axId val="153714048"/>
      </c:barChart>
      <c:catAx>
        <c:axId val="153712512"/>
        <c:scaling>
          <c:orientation val="maxMin"/>
        </c:scaling>
        <c:axPos val="l"/>
        <c:tickLblPos val="nextTo"/>
        <c:crossAx val="153714048"/>
        <c:crosses val="autoZero"/>
        <c:auto val="1"/>
        <c:lblAlgn val="ctr"/>
        <c:lblOffset val="100"/>
      </c:catAx>
      <c:valAx>
        <c:axId val="153714048"/>
        <c:scaling>
          <c:orientation val="minMax"/>
        </c:scaling>
        <c:axPos val="t"/>
        <c:majorGridlines/>
        <c:numFmt formatCode="General" sourceLinked="1"/>
        <c:tickLblPos val="nextTo"/>
        <c:crossAx val="15371251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teploty °C</a:t>
            </a:r>
          </a:p>
        </c:rich>
      </c:tx>
    </c:title>
    <c:plotArea>
      <c:layout/>
      <c:scatterChart>
        <c:scatterStyle val="lineMarker"/>
        <c:ser>
          <c:idx val="0"/>
          <c:order val="0"/>
          <c:tx>
            <c:strRef>
              <c:f>'10 těles'!$R$80</c:f>
              <c:strCache>
                <c:ptCount val="1"/>
                <c:pt idx="0">
                  <c:v>priv</c:v>
                </c:pt>
              </c:strCache>
            </c:strRef>
          </c:tx>
          <c:marker>
            <c:symbol val="none"/>
          </c:marker>
          <c:xVal>
            <c:numRef>
              <c:f>'10 těles'!$A$81:$A$91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'10 těles'!$R$81:$R$91</c:f>
              <c:numCache>
                <c:formatCode>General</c:formatCode>
                <c:ptCount val="11"/>
                <c:pt idx="0">
                  <c:v>73.238673686621667</c:v>
                </c:pt>
                <c:pt idx="1">
                  <c:v>73.555916002360917</c:v>
                </c:pt>
                <c:pt idx="2">
                  <c:v>73.785290373759324</c:v>
                </c:pt>
                <c:pt idx="3">
                  <c:v>73.978732166917439</c:v>
                </c:pt>
                <c:pt idx="4">
                  <c:v>74.151714579105843</c:v>
                </c:pt>
                <c:pt idx="5">
                  <c:v>74.311195650860896</c:v>
                </c:pt>
                <c:pt idx="6">
                  <c:v>74.460981382466031</c:v>
                </c:pt>
                <c:pt idx="7">
                  <c:v>74.603412068782546</c:v>
                </c:pt>
                <c:pt idx="8">
                  <c:v>74.740044016364152</c:v>
                </c:pt>
                <c:pt idx="9">
                  <c:v>74.871972103017754</c:v>
                </c:pt>
                <c:pt idx="10">
                  <c:v>75</c:v>
                </c:pt>
              </c:numCache>
            </c:numRef>
          </c:yVal>
          <c:extLst xmlns:c16r2="http://schemas.microsoft.com/office/drawing/2015/06/chart">
            <c:ext xmlns:c16="http://schemas.microsoft.com/office/drawing/2014/chart" uri="{C3380CC4-5D6E-409C-BE32-E72D297353CC}">
              <c16:uniqueId val="{00000000-1E27-4891-9B34-F8F7A048D5EB}"/>
            </c:ext>
          </c:extLst>
        </c:ser>
        <c:ser>
          <c:idx val="2"/>
          <c:order val="1"/>
          <c:tx>
            <c:strRef>
              <c:f>'10 těles'!$T$80</c:f>
              <c:strCache>
                <c:ptCount val="1"/>
              </c:strCache>
            </c:strRef>
          </c:tx>
          <c:marker>
            <c:symbol val="none"/>
          </c:marker>
          <c:xVal>
            <c:numRef>
              <c:f>'10 těles'!$A$81:$A$91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'10 těles'!$T$81:$T$91</c:f>
              <c:numCache>
                <c:formatCode>General</c:formatCode>
                <c:ptCount val="11"/>
                <c:pt idx="0">
                  <c:v>67.987844542219548</c:v>
                </c:pt>
                <c:pt idx="1">
                  <c:v>67.617262474317542</c:v>
                </c:pt>
                <c:pt idx="2">
                  <c:v>67.341849750102526</c:v>
                </c:pt>
                <c:pt idx="3">
                  <c:v>67.107992194251253</c:v>
                </c:pt>
                <c:pt idx="4">
                  <c:v>66.898806780907648</c:v>
                </c:pt>
                <c:pt idx="5">
                  <c:v>66.706429078274653</c:v>
                </c:pt>
                <c:pt idx="6">
                  <c:v>66.526448723664984</c:v>
                </c:pt>
                <c:pt idx="7">
                  <c:v>66.356101804958456</c:v>
                </c:pt>
                <c:pt idx="8">
                  <c:v>66.193521973888835</c:v>
                </c:pt>
                <c:pt idx="9">
                  <c:v>66.037379246496371</c:v>
                </c:pt>
              </c:numCache>
            </c:numRef>
          </c:yVal>
          <c:extLst xmlns:c16r2="http://schemas.microsoft.com/office/drawing/2015/06/chart">
            <c:ext xmlns:c16="http://schemas.microsoft.com/office/drawing/2014/chart" uri="{C3380CC4-5D6E-409C-BE32-E72D297353CC}">
              <c16:uniqueId val="{00000001-1E27-4891-9B34-F8F7A048D5EB}"/>
            </c:ext>
          </c:extLst>
        </c:ser>
        <c:ser>
          <c:idx val="3"/>
          <c:order val="2"/>
          <c:tx>
            <c:strRef>
              <c:f>'10 těles'!$U$80</c:f>
              <c:strCache>
                <c:ptCount val="1"/>
                <c:pt idx="0">
                  <c:v>zpat</c:v>
                </c:pt>
              </c:strCache>
            </c:strRef>
          </c:tx>
          <c:marker>
            <c:symbol val="none"/>
          </c:marker>
          <c:xVal>
            <c:numRef>
              <c:f>'10 těles'!$A$81:$A$91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'10 těles'!$U$81:$U$91</c:f>
              <c:numCache>
                <c:formatCode>General</c:formatCode>
                <c:ptCount val="11"/>
                <c:pt idx="0">
                  <c:v>67.703585097768297</c:v>
                </c:pt>
                <c:pt idx="1">
                  <c:v>67.414192460716038</c:v>
                </c:pt>
                <c:pt idx="2">
                  <c:v>67.172192332459531</c:v>
                </c:pt>
                <c:pt idx="3">
                  <c:v>66.957510271629758</c:v>
                </c:pt>
                <c:pt idx="4">
                  <c:v>66.761091676686164</c:v>
                </c:pt>
                <c:pt idx="5">
                  <c:v>66.577970933148293</c:v>
                </c:pt>
                <c:pt idx="6">
                  <c:v>66.405086453936605</c:v>
                </c:pt>
                <c:pt idx="7">
                  <c:v>66.240396299314199</c:v>
                </c:pt>
                <c:pt idx="8">
                  <c:v>66.082459390638405</c:v>
                </c:pt>
                <c:pt idx="9">
                  <c:v>65.930214358359962</c:v>
                </c:pt>
                <c:pt idx="10">
                  <c:v>65.930214358359962</c:v>
                </c:pt>
              </c:numCache>
            </c:numRef>
          </c:yVal>
          <c:extLst xmlns:c16r2="http://schemas.microsoft.com/office/drawing/2015/06/chart">
            <c:ext xmlns:c16="http://schemas.microsoft.com/office/drawing/2014/chart" uri="{C3380CC4-5D6E-409C-BE32-E72D297353CC}">
              <c16:uniqueId val="{00000002-1E27-4891-9B34-F8F7A048D5EB}"/>
            </c:ext>
          </c:extLst>
        </c:ser>
        <c:axId val="153751552"/>
        <c:axId val="153753088"/>
      </c:scatterChart>
      <c:valAx>
        <c:axId val="153751552"/>
        <c:scaling>
          <c:orientation val="minMax"/>
          <c:max val="11"/>
          <c:min val="1"/>
        </c:scaling>
        <c:axPos val="b"/>
        <c:numFmt formatCode="General" sourceLinked="1"/>
        <c:tickLblPos val="nextTo"/>
        <c:crossAx val="153753088"/>
        <c:crosses val="autoZero"/>
        <c:crossBetween val="midCat"/>
        <c:majorUnit val="1"/>
      </c:valAx>
      <c:valAx>
        <c:axId val="153753088"/>
        <c:scaling>
          <c:orientation val="minMax"/>
        </c:scaling>
        <c:axPos val="l"/>
        <c:majorGridlines/>
        <c:numFmt formatCode="General" sourceLinked="1"/>
        <c:tickLblPos val="nextTo"/>
        <c:crossAx val="15375155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Ztráty Pa/m  / rychlost m/s</a:t>
            </a:r>
          </a:p>
        </c:rich>
      </c:tx>
    </c:title>
    <c:plotArea>
      <c:layout/>
      <c:scatterChart>
        <c:scatterStyle val="lineMarker"/>
        <c:ser>
          <c:idx val="0"/>
          <c:order val="0"/>
          <c:tx>
            <c:strRef>
              <c:f>'10 těles'!$BD$35</c:f>
              <c:strCache>
                <c:ptCount val="1"/>
                <c:pt idx="0">
                  <c:v>TZB</c:v>
                </c:pt>
              </c:strCache>
            </c:strRef>
          </c:tx>
          <c:xVal>
            <c:numRef>
              <c:f>'10 těles'!$BB$36:$BB$58</c:f>
              <c:numCache>
                <c:formatCode>General</c:formatCode>
                <c:ptCount val="23"/>
                <c:pt idx="0">
                  <c:v>0.3</c:v>
                </c:pt>
                <c:pt idx="1">
                  <c:v>0.6</c:v>
                </c:pt>
                <c:pt idx="2">
                  <c:v>1.2</c:v>
                </c:pt>
                <c:pt idx="4">
                  <c:v>0.3</c:v>
                </c:pt>
                <c:pt idx="5">
                  <c:v>0.6</c:v>
                </c:pt>
                <c:pt idx="6">
                  <c:v>1.2</c:v>
                </c:pt>
                <c:pt idx="8">
                  <c:v>0.3</c:v>
                </c:pt>
                <c:pt idx="9">
                  <c:v>0.6</c:v>
                </c:pt>
                <c:pt idx="10">
                  <c:v>1.2</c:v>
                </c:pt>
                <c:pt idx="12">
                  <c:v>0.3</c:v>
                </c:pt>
                <c:pt idx="13">
                  <c:v>0.6</c:v>
                </c:pt>
                <c:pt idx="14">
                  <c:v>1.2</c:v>
                </c:pt>
                <c:pt idx="16">
                  <c:v>0.3</c:v>
                </c:pt>
                <c:pt idx="17">
                  <c:v>0.6</c:v>
                </c:pt>
                <c:pt idx="18">
                  <c:v>1.2</c:v>
                </c:pt>
                <c:pt idx="20">
                  <c:v>0.3</c:v>
                </c:pt>
                <c:pt idx="21">
                  <c:v>0.6</c:v>
                </c:pt>
                <c:pt idx="22">
                  <c:v>1.2</c:v>
                </c:pt>
              </c:numCache>
            </c:numRef>
          </c:xVal>
          <c:yVal>
            <c:numRef>
              <c:f>'10 těles'!$BD$36:$BD$58</c:f>
              <c:numCache>
                <c:formatCode>General</c:formatCode>
                <c:ptCount val="23"/>
                <c:pt idx="0">
                  <c:v>84</c:v>
                </c:pt>
                <c:pt idx="1">
                  <c:v>288</c:v>
                </c:pt>
                <c:pt idx="2">
                  <c:v>1017</c:v>
                </c:pt>
                <c:pt idx="4">
                  <c:v>49.2</c:v>
                </c:pt>
                <c:pt idx="5">
                  <c:v>173</c:v>
                </c:pt>
                <c:pt idx="6">
                  <c:v>625</c:v>
                </c:pt>
                <c:pt idx="8">
                  <c:v>65.2</c:v>
                </c:pt>
                <c:pt idx="9">
                  <c:v>228</c:v>
                </c:pt>
                <c:pt idx="10">
                  <c:v>826</c:v>
                </c:pt>
                <c:pt idx="12">
                  <c:v>86</c:v>
                </c:pt>
                <c:pt idx="13">
                  <c:v>303</c:v>
                </c:pt>
                <c:pt idx="14">
                  <c:v>1093</c:v>
                </c:pt>
                <c:pt idx="16">
                  <c:v>113</c:v>
                </c:pt>
                <c:pt idx="17">
                  <c:v>394</c:v>
                </c:pt>
                <c:pt idx="18">
                  <c:v>1419</c:v>
                </c:pt>
                <c:pt idx="20">
                  <c:v>158</c:v>
                </c:pt>
                <c:pt idx="21">
                  <c:v>550</c:v>
                </c:pt>
                <c:pt idx="22">
                  <c:v>1979</c:v>
                </c:pt>
              </c:numCache>
            </c:numRef>
          </c:yVal>
          <c:extLst xmlns:c16r2="http://schemas.microsoft.com/office/drawing/2015/06/chart">
            <c:ext xmlns:c16="http://schemas.microsoft.com/office/drawing/2014/chart" uri="{C3380CC4-5D6E-409C-BE32-E72D297353CC}">
              <c16:uniqueId val="{00000000-A3E6-4CE9-85F4-7403A01E4010}"/>
            </c:ext>
          </c:extLst>
        </c:ser>
        <c:ser>
          <c:idx val="1"/>
          <c:order val="1"/>
          <c:tx>
            <c:strRef>
              <c:f>'10 těles'!$BE$35</c:f>
              <c:strCache>
                <c:ptCount val="1"/>
                <c:pt idx="0">
                  <c:v>výpočet</c:v>
                </c:pt>
              </c:strCache>
            </c:strRef>
          </c:tx>
          <c:xVal>
            <c:numRef>
              <c:f>'10 těles'!$BB$36:$BB$58</c:f>
              <c:numCache>
                <c:formatCode>General</c:formatCode>
                <c:ptCount val="23"/>
                <c:pt idx="0">
                  <c:v>0.3</c:v>
                </c:pt>
                <c:pt idx="1">
                  <c:v>0.6</c:v>
                </c:pt>
                <c:pt idx="2">
                  <c:v>1.2</c:v>
                </c:pt>
                <c:pt idx="4">
                  <c:v>0.3</c:v>
                </c:pt>
                <c:pt idx="5">
                  <c:v>0.6</c:v>
                </c:pt>
                <c:pt idx="6">
                  <c:v>1.2</c:v>
                </c:pt>
                <c:pt idx="8">
                  <c:v>0.3</c:v>
                </c:pt>
                <c:pt idx="9">
                  <c:v>0.6</c:v>
                </c:pt>
                <c:pt idx="10">
                  <c:v>1.2</c:v>
                </c:pt>
                <c:pt idx="12">
                  <c:v>0.3</c:v>
                </c:pt>
                <c:pt idx="13">
                  <c:v>0.6</c:v>
                </c:pt>
                <c:pt idx="14">
                  <c:v>1.2</c:v>
                </c:pt>
                <c:pt idx="16">
                  <c:v>0.3</c:v>
                </c:pt>
                <c:pt idx="17">
                  <c:v>0.6</c:v>
                </c:pt>
                <c:pt idx="18">
                  <c:v>1.2</c:v>
                </c:pt>
                <c:pt idx="20">
                  <c:v>0.3</c:v>
                </c:pt>
                <c:pt idx="21">
                  <c:v>0.6</c:v>
                </c:pt>
                <c:pt idx="22">
                  <c:v>1.2</c:v>
                </c:pt>
              </c:numCache>
            </c:numRef>
          </c:xVal>
          <c:yVal>
            <c:numRef>
              <c:f>'10 těles'!$BE$36:$BE$58</c:f>
              <c:numCache>
                <c:formatCode>General</c:formatCode>
                <c:ptCount val="23"/>
                <c:pt idx="0">
                  <c:v>86.19924164192129</c:v>
                </c:pt>
                <c:pt idx="1">
                  <c:v>306.47026022212157</c:v>
                </c:pt>
                <c:pt idx="2">
                  <c:v>1089.6153911745882</c:v>
                </c:pt>
                <c:pt idx="4">
                  <c:v>48.904859099658928</c:v>
                </c:pt>
                <c:pt idx="5">
                  <c:v>173.87490433685673</c:v>
                </c:pt>
                <c:pt idx="6">
                  <c:v>618.18974463341067</c:v>
                </c:pt>
                <c:pt idx="8">
                  <c:v>64.92735761599738</c:v>
                </c:pt>
                <c:pt idx="9">
                  <c:v>230.84082649785537</c:v>
                </c:pt>
                <c:pt idx="10">
                  <c:v>820.7247165882435</c:v>
                </c:pt>
                <c:pt idx="12">
                  <c:v>86.19924164192129</c:v>
                </c:pt>
                <c:pt idx="13">
                  <c:v>306.47026022212157</c:v>
                </c:pt>
                <c:pt idx="14">
                  <c:v>1089.6153911745882</c:v>
                </c:pt>
                <c:pt idx="16">
                  <c:v>112.20901901565874</c:v>
                </c:pt>
                <c:pt idx="17">
                  <c:v>398.9446612517952</c:v>
                </c:pt>
                <c:pt idx="18">
                  <c:v>1418.3961693765391</c:v>
                </c:pt>
                <c:pt idx="20">
                  <c:v>156.57983208929386</c:v>
                </c:pt>
                <c:pt idx="21">
                  <c:v>556.69935108343736</c:v>
                </c:pt>
                <c:pt idx="22">
                  <c:v>1979.2725752827694</c:v>
                </c:pt>
              </c:numCache>
            </c:numRef>
          </c:yVal>
          <c:extLst xmlns:c16r2="http://schemas.microsoft.com/office/drawing/2015/06/chart">
            <c:ext xmlns:c16="http://schemas.microsoft.com/office/drawing/2014/chart" uri="{C3380CC4-5D6E-409C-BE32-E72D297353CC}">
              <c16:uniqueId val="{00000001-A3E6-4CE9-85F4-7403A01E4010}"/>
            </c:ext>
          </c:extLst>
        </c:ser>
        <c:axId val="153795968"/>
        <c:axId val="153801856"/>
      </c:scatterChart>
      <c:valAx>
        <c:axId val="153795968"/>
        <c:scaling>
          <c:orientation val="minMax"/>
        </c:scaling>
        <c:axPos val="b"/>
        <c:numFmt formatCode="General" sourceLinked="1"/>
        <c:tickLblPos val="nextTo"/>
        <c:crossAx val="153801856"/>
        <c:crosses val="autoZero"/>
        <c:crossBetween val="midCat"/>
      </c:valAx>
      <c:valAx>
        <c:axId val="153801856"/>
        <c:scaling>
          <c:orientation val="minMax"/>
        </c:scaling>
        <c:axPos val="l"/>
        <c:majorGridlines/>
        <c:numFmt formatCode="General" sourceLinked="1"/>
        <c:tickLblPos val="nextTo"/>
        <c:crossAx val="15379596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cs-CZ"/>
  <c:chart>
    <c:plotArea>
      <c:layout>
        <c:manualLayout>
          <c:layoutTarget val="inner"/>
          <c:xMode val="edge"/>
          <c:yMode val="edge"/>
          <c:x val="8.8943505012693228E-2"/>
          <c:y val="6.0659634526816934E-2"/>
          <c:w val="0.8642546152319196"/>
          <c:h val="0.78431321084864358"/>
        </c:manualLayout>
      </c:layout>
      <c:barChart>
        <c:barDir val="col"/>
        <c:grouping val="clustered"/>
        <c:ser>
          <c:idx val="0"/>
          <c:order val="0"/>
          <c:val>
            <c:numRef>
              <c:f>'10 těles'!$AE$100:$AE$999</c:f>
              <c:numCache>
                <c:formatCode>General</c:formatCode>
                <c:ptCount val="900"/>
                <c:pt idx="0">
                  <c:v>11.599054429695624</c:v>
                </c:pt>
                <c:pt idx="1">
                  <c:v>11.599054429695624</c:v>
                </c:pt>
                <c:pt idx="2">
                  <c:v>11.599054429695624</c:v>
                </c:pt>
                <c:pt idx="3">
                  <c:v>11.599054429695624</c:v>
                </c:pt>
                <c:pt idx="4">
                  <c:v>11.599054429695624</c:v>
                </c:pt>
                <c:pt idx="5">
                  <c:v>11.599054429695624</c:v>
                </c:pt>
                <c:pt idx="6">
                  <c:v>11.599054429695624</c:v>
                </c:pt>
                <c:pt idx="7">
                  <c:v>11.599054429695624</c:v>
                </c:pt>
                <c:pt idx="8">
                  <c:v>11.599054429695624</c:v>
                </c:pt>
                <c:pt idx="9">
                  <c:v>11.599054429695624</c:v>
                </c:pt>
                <c:pt idx="10">
                  <c:v>11.599054429695624</c:v>
                </c:pt>
                <c:pt idx="11">
                  <c:v>11.599054429695624</c:v>
                </c:pt>
                <c:pt idx="20">
                  <c:v>12.134721278414293</c:v>
                </c:pt>
                <c:pt idx="21">
                  <c:v>12.134721278414293</c:v>
                </c:pt>
                <c:pt idx="22">
                  <c:v>12.134721278414293</c:v>
                </c:pt>
                <c:pt idx="23">
                  <c:v>12.134721278414293</c:v>
                </c:pt>
                <c:pt idx="24">
                  <c:v>12.134721278414293</c:v>
                </c:pt>
                <c:pt idx="25">
                  <c:v>12.134721278414293</c:v>
                </c:pt>
                <c:pt idx="26">
                  <c:v>12.134721278414293</c:v>
                </c:pt>
                <c:pt idx="27">
                  <c:v>12.134721278414293</c:v>
                </c:pt>
                <c:pt idx="28">
                  <c:v>12.134721278414293</c:v>
                </c:pt>
                <c:pt idx="29">
                  <c:v>12.134721278414293</c:v>
                </c:pt>
                <c:pt idx="30">
                  <c:v>12.134721278414293</c:v>
                </c:pt>
                <c:pt idx="31">
                  <c:v>12.134721278414293</c:v>
                </c:pt>
                <c:pt idx="40">
                  <c:v>12.643728735058318</c:v>
                </c:pt>
                <c:pt idx="41">
                  <c:v>12.643728735058318</c:v>
                </c:pt>
                <c:pt idx="42">
                  <c:v>12.643728735058318</c:v>
                </c:pt>
                <c:pt idx="43">
                  <c:v>12.643728735058318</c:v>
                </c:pt>
                <c:pt idx="44">
                  <c:v>12.643728735058318</c:v>
                </c:pt>
                <c:pt idx="45">
                  <c:v>12.643728735058318</c:v>
                </c:pt>
                <c:pt idx="46">
                  <c:v>12.643728735058318</c:v>
                </c:pt>
                <c:pt idx="47">
                  <c:v>12.643728735058318</c:v>
                </c:pt>
                <c:pt idx="48">
                  <c:v>12.643728735058318</c:v>
                </c:pt>
                <c:pt idx="49">
                  <c:v>12.643728735058318</c:v>
                </c:pt>
                <c:pt idx="50">
                  <c:v>12.643728735058318</c:v>
                </c:pt>
                <c:pt idx="51">
                  <c:v>12.643728735058318</c:v>
                </c:pt>
                <c:pt idx="60">
                  <c:v>13.124984990551011</c:v>
                </c:pt>
                <c:pt idx="61">
                  <c:v>13.124984990551011</c:v>
                </c:pt>
                <c:pt idx="62">
                  <c:v>13.124984990551011</c:v>
                </c:pt>
                <c:pt idx="63">
                  <c:v>13.124984990551011</c:v>
                </c:pt>
                <c:pt idx="64">
                  <c:v>13.124984990551011</c:v>
                </c:pt>
                <c:pt idx="65">
                  <c:v>13.124984990551011</c:v>
                </c:pt>
                <c:pt idx="66">
                  <c:v>13.124984990551011</c:v>
                </c:pt>
                <c:pt idx="67">
                  <c:v>13.124984990551011</c:v>
                </c:pt>
                <c:pt idx="68">
                  <c:v>13.124984990551011</c:v>
                </c:pt>
                <c:pt idx="69">
                  <c:v>13.124984990551011</c:v>
                </c:pt>
                <c:pt idx="70">
                  <c:v>13.124984990551011</c:v>
                </c:pt>
                <c:pt idx="71">
                  <c:v>13.124984990551011</c:v>
                </c:pt>
                <c:pt idx="80">
                  <c:v>13.578093756832939</c:v>
                </c:pt>
                <c:pt idx="81">
                  <c:v>13.578093756832939</c:v>
                </c:pt>
                <c:pt idx="82">
                  <c:v>13.578093756832939</c:v>
                </c:pt>
                <c:pt idx="83">
                  <c:v>13.578093756832939</c:v>
                </c:pt>
                <c:pt idx="84">
                  <c:v>13.578093756832939</c:v>
                </c:pt>
                <c:pt idx="85">
                  <c:v>13.578093756832939</c:v>
                </c:pt>
                <c:pt idx="86">
                  <c:v>13.578093756832939</c:v>
                </c:pt>
                <c:pt idx="87">
                  <c:v>13.578093756832939</c:v>
                </c:pt>
                <c:pt idx="88">
                  <c:v>13.578093756832939</c:v>
                </c:pt>
                <c:pt idx="89">
                  <c:v>13.578093756832939</c:v>
                </c:pt>
                <c:pt idx="90">
                  <c:v>13.578093756832939</c:v>
                </c:pt>
                <c:pt idx="91">
                  <c:v>13.578093756832939</c:v>
                </c:pt>
                <c:pt idx="100">
                  <c:v>14.003185531769835</c:v>
                </c:pt>
                <c:pt idx="101">
                  <c:v>14.003185531769835</c:v>
                </c:pt>
                <c:pt idx="102">
                  <c:v>14.003185531769835</c:v>
                </c:pt>
                <c:pt idx="103">
                  <c:v>14.003185531769835</c:v>
                </c:pt>
                <c:pt idx="104">
                  <c:v>14.003185531769835</c:v>
                </c:pt>
                <c:pt idx="105">
                  <c:v>14.003185531769835</c:v>
                </c:pt>
                <c:pt idx="106">
                  <c:v>14.003185531769835</c:v>
                </c:pt>
                <c:pt idx="107">
                  <c:v>14.003185531769835</c:v>
                </c:pt>
                <c:pt idx="108">
                  <c:v>14.003185531769835</c:v>
                </c:pt>
                <c:pt idx="109">
                  <c:v>14.003185531769835</c:v>
                </c:pt>
                <c:pt idx="110">
                  <c:v>14.003185531769835</c:v>
                </c:pt>
                <c:pt idx="111">
                  <c:v>14.003185531769835</c:v>
                </c:pt>
                <c:pt idx="120">
                  <c:v>14.400783714237424</c:v>
                </c:pt>
                <c:pt idx="121">
                  <c:v>14.400783714237424</c:v>
                </c:pt>
                <c:pt idx="122">
                  <c:v>14.400783714237424</c:v>
                </c:pt>
                <c:pt idx="123">
                  <c:v>14.400783714237424</c:v>
                </c:pt>
                <c:pt idx="124">
                  <c:v>14.400783714237424</c:v>
                </c:pt>
                <c:pt idx="125">
                  <c:v>14.400783714237424</c:v>
                </c:pt>
                <c:pt idx="126">
                  <c:v>14.400783714237424</c:v>
                </c:pt>
                <c:pt idx="127">
                  <c:v>14.400783714237424</c:v>
                </c:pt>
                <c:pt idx="128">
                  <c:v>14.400783714237424</c:v>
                </c:pt>
                <c:pt idx="129">
                  <c:v>14.400783714237424</c:v>
                </c:pt>
                <c:pt idx="130">
                  <c:v>14.400783714237424</c:v>
                </c:pt>
                <c:pt idx="131">
                  <c:v>14.400783714237424</c:v>
                </c:pt>
                <c:pt idx="140">
                  <c:v>14.771698572239012</c:v>
                </c:pt>
                <c:pt idx="141">
                  <c:v>14.771698572239012</c:v>
                </c:pt>
                <c:pt idx="142">
                  <c:v>14.771698572239012</c:v>
                </c:pt>
                <c:pt idx="143">
                  <c:v>14.771698572239012</c:v>
                </c:pt>
                <c:pt idx="144">
                  <c:v>14.771698572239012</c:v>
                </c:pt>
                <c:pt idx="145">
                  <c:v>14.771698572239012</c:v>
                </c:pt>
                <c:pt idx="146">
                  <c:v>14.771698572239012</c:v>
                </c:pt>
                <c:pt idx="147">
                  <c:v>14.771698572239012</c:v>
                </c:pt>
                <c:pt idx="148">
                  <c:v>14.771698572239012</c:v>
                </c:pt>
                <c:pt idx="149">
                  <c:v>14.771698572239012</c:v>
                </c:pt>
                <c:pt idx="150">
                  <c:v>14.771698572239012</c:v>
                </c:pt>
                <c:pt idx="151">
                  <c:v>14.771698572239012</c:v>
                </c:pt>
                <c:pt idx="160">
                  <c:v>15.116943519073025</c:v>
                </c:pt>
                <c:pt idx="161">
                  <c:v>15.116943519073025</c:v>
                </c:pt>
                <c:pt idx="162">
                  <c:v>15.116943519073025</c:v>
                </c:pt>
                <c:pt idx="163">
                  <c:v>15.116943519073025</c:v>
                </c:pt>
                <c:pt idx="164">
                  <c:v>15.116943519073025</c:v>
                </c:pt>
                <c:pt idx="165">
                  <c:v>15.116943519073025</c:v>
                </c:pt>
                <c:pt idx="166">
                  <c:v>15.116943519073025</c:v>
                </c:pt>
                <c:pt idx="167">
                  <c:v>15.116943519073025</c:v>
                </c:pt>
                <c:pt idx="168">
                  <c:v>15.116943519073025</c:v>
                </c:pt>
                <c:pt idx="169">
                  <c:v>15.116943519073025</c:v>
                </c:pt>
                <c:pt idx="170">
                  <c:v>15.116943519073025</c:v>
                </c:pt>
                <c:pt idx="171">
                  <c:v>15.116943519073025</c:v>
                </c:pt>
                <c:pt idx="180">
                  <c:v>15.437669279956379</c:v>
                </c:pt>
                <c:pt idx="181">
                  <c:v>15.437669279956379</c:v>
                </c:pt>
                <c:pt idx="182">
                  <c:v>15.437669279956379</c:v>
                </c:pt>
                <c:pt idx="183">
                  <c:v>15.437669279956379</c:v>
                </c:pt>
                <c:pt idx="184">
                  <c:v>15.437669279956379</c:v>
                </c:pt>
                <c:pt idx="185">
                  <c:v>15.437669279956379</c:v>
                </c:pt>
                <c:pt idx="186">
                  <c:v>15.437669279956379</c:v>
                </c:pt>
                <c:pt idx="187">
                  <c:v>15.437669279956379</c:v>
                </c:pt>
                <c:pt idx="188">
                  <c:v>15.437669279956379</c:v>
                </c:pt>
                <c:pt idx="189">
                  <c:v>15.437669279956379</c:v>
                </c:pt>
                <c:pt idx="190">
                  <c:v>15.437669279956379</c:v>
                </c:pt>
                <c:pt idx="191">
                  <c:v>15.437669279956379</c:v>
                </c:pt>
                <c:pt idx="200">
                  <c:v>15.735112414152681</c:v>
                </c:pt>
                <c:pt idx="201">
                  <c:v>15.735112414152681</c:v>
                </c:pt>
                <c:pt idx="202">
                  <c:v>15.735112414152681</c:v>
                </c:pt>
                <c:pt idx="203">
                  <c:v>15.735112414152681</c:v>
                </c:pt>
                <c:pt idx="204">
                  <c:v>15.735112414152681</c:v>
                </c:pt>
                <c:pt idx="205">
                  <c:v>15.735112414152681</c:v>
                </c:pt>
                <c:pt idx="206">
                  <c:v>15.735112414152681</c:v>
                </c:pt>
                <c:pt idx="207">
                  <c:v>15.735112414152681</c:v>
                </c:pt>
                <c:pt idx="208">
                  <c:v>15.735112414152681</c:v>
                </c:pt>
                <c:pt idx="209">
                  <c:v>15.735112414152681</c:v>
                </c:pt>
                <c:pt idx="210">
                  <c:v>15.735112414152681</c:v>
                </c:pt>
                <c:pt idx="211">
                  <c:v>15.735112414152681</c:v>
                </c:pt>
                <c:pt idx="220">
                  <c:v>16.010555354117102</c:v>
                </c:pt>
                <c:pt idx="221">
                  <c:v>16.010555354117102</c:v>
                </c:pt>
                <c:pt idx="222">
                  <c:v>16.010555354117102</c:v>
                </c:pt>
                <c:pt idx="223">
                  <c:v>16.010555354117102</c:v>
                </c:pt>
                <c:pt idx="224">
                  <c:v>16.010555354117102</c:v>
                </c:pt>
                <c:pt idx="225">
                  <c:v>16.010555354117102</c:v>
                </c:pt>
                <c:pt idx="226">
                  <c:v>16.010555354117102</c:v>
                </c:pt>
                <c:pt idx="227">
                  <c:v>16.010555354117102</c:v>
                </c:pt>
                <c:pt idx="228">
                  <c:v>16.010555354117102</c:v>
                </c:pt>
                <c:pt idx="229">
                  <c:v>16.010555354117102</c:v>
                </c:pt>
                <c:pt idx="230">
                  <c:v>16.010555354117102</c:v>
                </c:pt>
                <c:pt idx="231">
                  <c:v>16.010555354117102</c:v>
                </c:pt>
                <c:pt idx="240">
                  <c:v>16.26529567642978</c:v>
                </c:pt>
                <c:pt idx="241">
                  <c:v>16.26529567642978</c:v>
                </c:pt>
                <c:pt idx="242">
                  <c:v>16.26529567642978</c:v>
                </c:pt>
                <c:pt idx="243">
                  <c:v>16.26529567642978</c:v>
                </c:pt>
                <c:pt idx="244">
                  <c:v>16.26529567642978</c:v>
                </c:pt>
                <c:pt idx="245">
                  <c:v>16.26529567642978</c:v>
                </c:pt>
                <c:pt idx="246">
                  <c:v>16.26529567642978</c:v>
                </c:pt>
                <c:pt idx="247">
                  <c:v>16.26529567642978</c:v>
                </c:pt>
                <c:pt idx="248">
                  <c:v>16.26529567642978</c:v>
                </c:pt>
                <c:pt idx="249">
                  <c:v>16.26529567642978</c:v>
                </c:pt>
                <c:pt idx="250">
                  <c:v>16.26529567642978</c:v>
                </c:pt>
                <c:pt idx="251">
                  <c:v>16.26529567642978</c:v>
                </c:pt>
                <c:pt idx="260">
                  <c:v>16.500622761240539</c:v>
                </c:pt>
                <c:pt idx="261">
                  <c:v>16.500622761240539</c:v>
                </c:pt>
                <c:pt idx="262">
                  <c:v>16.500622761240539</c:v>
                </c:pt>
                <c:pt idx="263">
                  <c:v>16.500622761240539</c:v>
                </c:pt>
                <c:pt idx="264">
                  <c:v>16.500622761240539</c:v>
                </c:pt>
                <c:pt idx="265">
                  <c:v>16.500622761240539</c:v>
                </c:pt>
                <c:pt idx="266">
                  <c:v>16.500622761240539</c:v>
                </c:pt>
                <c:pt idx="267">
                  <c:v>16.500622761240539</c:v>
                </c:pt>
                <c:pt idx="268">
                  <c:v>16.500622761240539</c:v>
                </c:pt>
                <c:pt idx="269">
                  <c:v>16.500622761240539</c:v>
                </c:pt>
                <c:pt idx="270">
                  <c:v>16.500622761240539</c:v>
                </c:pt>
                <c:pt idx="271">
                  <c:v>16.500622761240539</c:v>
                </c:pt>
                <c:pt idx="280">
                  <c:v>16.717800351575022</c:v>
                </c:pt>
                <c:pt idx="281">
                  <c:v>16.717800351575022</c:v>
                </c:pt>
                <c:pt idx="282">
                  <c:v>16.717800351575022</c:v>
                </c:pt>
                <c:pt idx="283">
                  <c:v>16.717800351575022</c:v>
                </c:pt>
                <c:pt idx="284">
                  <c:v>16.717800351575022</c:v>
                </c:pt>
                <c:pt idx="285">
                  <c:v>16.717800351575022</c:v>
                </c:pt>
                <c:pt idx="286">
                  <c:v>16.717800351575022</c:v>
                </c:pt>
                <c:pt idx="287">
                  <c:v>16.717800351575022</c:v>
                </c:pt>
                <c:pt idx="288">
                  <c:v>16.717800351575022</c:v>
                </c:pt>
                <c:pt idx="289">
                  <c:v>16.717800351575022</c:v>
                </c:pt>
                <c:pt idx="290">
                  <c:v>16.717800351575022</c:v>
                </c:pt>
                <c:pt idx="291">
                  <c:v>16.717800351575022</c:v>
                </c:pt>
                <c:pt idx="300">
                  <c:v>16.918053809437282</c:v>
                </c:pt>
                <c:pt idx="301">
                  <c:v>16.918053809437282</c:v>
                </c:pt>
                <c:pt idx="302">
                  <c:v>16.918053809437282</c:v>
                </c:pt>
                <c:pt idx="303">
                  <c:v>16.918053809437282</c:v>
                </c:pt>
                <c:pt idx="304">
                  <c:v>16.918053809437282</c:v>
                </c:pt>
                <c:pt idx="305">
                  <c:v>16.918053809437282</c:v>
                </c:pt>
                <c:pt idx="306">
                  <c:v>16.918053809437282</c:v>
                </c:pt>
                <c:pt idx="307">
                  <c:v>16.918053809437282</c:v>
                </c:pt>
                <c:pt idx="308">
                  <c:v>16.918053809437282</c:v>
                </c:pt>
                <c:pt idx="309">
                  <c:v>16.918053809437282</c:v>
                </c:pt>
                <c:pt idx="310">
                  <c:v>16.918053809437282</c:v>
                </c:pt>
                <c:pt idx="311">
                  <c:v>16.918053809437282</c:v>
                </c:pt>
                <c:pt idx="320">
                  <c:v>17.102561096277569</c:v>
                </c:pt>
                <c:pt idx="321">
                  <c:v>17.102561096277569</c:v>
                </c:pt>
                <c:pt idx="322">
                  <c:v>17.102561096277569</c:v>
                </c:pt>
                <c:pt idx="323">
                  <c:v>17.102561096277569</c:v>
                </c:pt>
                <c:pt idx="324">
                  <c:v>17.102561096277569</c:v>
                </c:pt>
                <c:pt idx="325">
                  <c:v>17.102561096277569</c:v>
                </c:pt>
                <c:pt idx="326">
                  <c:v>17.102561096277569</c:v>
                </c:pt>
                <c:pt idx="327">
                  <c:v>17.102561096277569</c:v>
                </c:pt>
                <c:pt idx="328">
                  <c:v>17.102561096277569</c:v>
                </c:pt>
                <c:pt idx="329">
                  <c:v>17.102561096277569</c:v>
                </c:pt>
                <c:pt idx="330">
                  <c:v>17.102561096277569</c:v>
                </c:pt>
                <c:pt idx="331">
                  <c:v>17.102561096277569</c:v>
                </c:pt>
                <c:pt idx="340">
                  <c:v>17.272446692059297</c:v>
                </c:pt>
                <c:pt idx="341">
                  <c:v>17.272446692059297</c:v>
                </c:pt>
                <c:pt idx="342">
                  <c:v>17.272446692059297</c:v>
                </c:pt>
                <c:pt idx="343">
                  <c:v>17.272446692059297</c:v>
                </c:pt>
                <c:pt idx="344">
                  <c:v>17.272446692059297</c:v>
                </c:pt>
                <c:pt idx="345">
                  <c:v>17.272446692059297</c:v>
                </c:pt>
                <c:pt idx="346">
                  <c:v>17.272446692059297</c:v>
                </c:pt>
                <c:pt idx="347">
                  <c:v>17.272446692059297</c:v>
                </c:pt>
                <c:pt idx="348">
                  <c:v>17.272446692059297</c:v>
                </c:pt>
                <c:pt idx="349">
                  <c:v>17.272446692059297</c:v>
                </c:pt>
                <c:pt idx="350">
                  <c:v>17.272446692059297</c:v>
                </c:pt>
                <c:pt idx="351">
                  <c:v>17.272446692059297</c:v>
                </c:pt>
                <c:pt idx="360">
                  <c:v>17.4287778184849</c:v>
                </c:pt>
                <c:pt idx="361">
                  <c:v>17.4287778184849</c:v>
                </c:pt>
                <c:pt idx="362">
                  <c:v>17.4287778184849</c:v>
                </c:pt>
                <c:pt idx="363">
                  <c:v>17.4287778184849</c:v>
                </c:pt>
                <c:pt idx="364">
                  <c:v>17.4287778184849</c:v>
                </c:pt>
                <c:pt idx="365">
                  <c:v>17.4287778184849</c:v>
                </c:pt>
                <c:pt idx="366">
                  <c:v>17.4287778184849</c:v>
                </c:pt>
                <c:pt idx="367">
                  <c:v>17.4287778184849</c:v>
                </c:pt>
                <c:pt idx="368">
                  <c:v>17.4287778184849</c:v>
                </c:pt>
                <c:pt idx="369">
                  <c:v>17.4287778184849</c:v>
                </c:pt>
                <c:pt idx="370">
                  <c:v>17.4287778184849</c:v>
                </c:pt>
                <c:pt idx="371">
                  <c:v>17.4287778184849</c:v>
                </c:pt>
                <c:pt idx="380">
                  <c:v>17.572562454759932</c:v>
                </c:pt>
                <c:pt idx="381">
                  <c:v>17.572562454759932</c:v>
                </c:pt>
                <c:pt idx="382">
                  <c:v>17.572562454759932</c:v>
                </c:pt>
                <c:pt idx="383">
                  <c:v>17.572562454759932</c:v>
                </c:pt>
                <c:pt idx="384">
                  <c:v>17.572562454759932</c:v>
                </c:pt>
                <c:pt idx="385">
                  <c:v>17.572562454759932</c:v>
                </c:pt>
                <c:pt idx="386">
                  <c:v>17.572562454759932</c:v>
                </c:pt>
                <c:pt idx="387">
                  <c:v>17.572562454759932</c:v>
                </c:pt>
                <c:pt idx="388">
                  <c:v>17.572562454759932</c:v>
                </c:pt>
                <c:pt idx="389">
                  <c:v>17.572562454759932</c:v>
                </c:pt>
                <c:pt idx="390">
                  <c:v>17.572562454759932</c:v>
                </c:pt>
                <c:pt idx="391">
                  <c:v>17.572562454759932</c:v>
                </c:pt>
                <c:pt idx="400">
                  <c:v>17.704748734032336</c:v>
                </c:pt>
                <c:pt idx="401">
                  <c:v>17.704748734032336</c:v>
                </c:pt>
                <c:pt idx="402">
                  <c:v>17.704748734032336</c:v>
                </c:pt>
                <c:pt idx="403">
                  <c:v>17.704748734032336</c:v>
                </c:pt>
                <c:pt idx="404">
                  <c:v>17.704748734032336</c:v>
                </c:pt>
                <c:pt idx="405">
                  <c:v>17.704748734032336</c:v>
                </c:pt>
                <c:pt idx="406">
                  <c:v>17.704748734032336</c:v>
                </c:pt>
                <c:pt idx="407">
                  <c:v>17.704748734032336</c:v>
                </c:pt>
                <c:pt idx="408">
                  <c:v>17.704748734032336</c:v>
                </c:pt>
                <c:pt idx="409">
                  <c:v>17.704748734032336</c:v>
                </c:pt>
                <c:pt idx="410">
                  <c:v>17.704748734032336</c:v>
                </c:pt>
                <c:pt idx="411">
                  <c:v>17.704748734032336</c:v>
                </c:pt>
                <c:pt idx="420">
                  <c:v>17.826225389700834</c:v>
                </c:pt>
                <c:pt idx="421">
                  <c:v>17.826225389700834</c:v>
                </c:pt>
                <c:pt idx="422">
                  <c:v>17.826225389700834</c:v>
                </c:pt>
                <c:pt idx="423">
                  <c:v>17.826225389700834</c:v>
                </c:pt>
                <c:pt idx="424">
                  <c:v>17.826225389700834</c:v>
                </c:pt>
                <c:pt idx="425">
                  <c:v>17.826225389700834</c:v>
                </c:pt>
                <c:pt idx="426">
                  <c:v>17.826225389700834</c:v>
                </c:pt>
                <c:pt idx="427">
                  <c:v>17.826225389700834</c:v>
                </c:pt>
                <c:pt idx="428">
                  <c:v>17.826225389700834</c:v>
                </c:pt>
                <c:pt idx="429">
                  <c:v>17.826225389700834</c:v>
                </c:pt>
                <c:pt idx="430">
                  <c:v>17.826225389700834</c:v>
                </c:pt>
                <c:pt idx="431">
                  <c:v>17.826225389700834</c:v>
                </c:pt>
                <c:pt idx="440">
                  <c:v>17.937822986648428</c:v>
                </c:pt>
                <c:pt idx="441">
                  <c:v>17.937822986648428</c:v>
                </c:pt>
                <c:pt idx="442">
                  <c:v>17.937822986648428</c:v>
                </c:pt>
                <c:pt idx="443">
                  <c:v>17.937822986648428</c:v>
                </c:pt>
                <c:pt idx="444">
                  <c:v>17.937822986648428</c:v>
                </c:pt>
                <c:pt idx="445">
                  <c:v>17.937822986648428</c:v>
                </c:pt>
                <c:pt idx="446">
                  <c:v>17.937822986648428</c:v>
                </c:pt>
                <c:pt idx="447">
                  <c:v>17.937822986648428</c:v>
                </c:pt>
                <c:pt idx="448">
                  <c:v>17.937822986648428</c:v>
                </c:pt>
                <c:pt idx="449">
                  <c:v>17.937822986648428</c:v>
                </c:pt>
                <c:pt idx="450">
                  <c:v>17.937822986648428</c:v>
                </c:pt>
                <c:pt idx="451">
                  <c:v>17.937822986648428</c:v>
                </c:pt>
                <c:pt idx="460">
                  <c:v>18.040315725957736</c:v>
                </c:pt>
                <c:pt idx="461">
                  <c:v>18.040315725957736</c:v>
                </c:pt>
                <c:pt idx="462">
                  <c:v>18.040315725957736</c:v>
                </c:pt>
                <c:pt idx="463">
                  <c:v>18.040315725957736</c:v>
                </c:pt>
                <c:pt idx="464">
                  <c:v>18.040315725957736</c:v>
                </c:pt>
                <c:pt idx="465">
                  <c:v>18.040315725957736</c:v>
                </c:pt>
                <c:pt idx="466">
                  <c:v>18.040315725957736</c:v>
                </c:pt>
                <c:pt idx="467">
                  <c:v>18.040315725957736</c:v>
                </c:pt>
                <c:pt idx="468">
                  <c:v>18.040315725957736</c:v>
                </c:pt>
                <c:pt idx="469">
                  <c:v>18.040315725957736</c:v>
                </c:pt>
                <c:pt idx="470">
                  <c:v>18.040315725957736</c:v>
                </c:pt>
                <c:pt idx="471">
                  <c:v>18.040315725957736</c:v>
                </c:pt>
                <c:pt idx="480">
                  <c:v>18.134423655094807</c:v>
                </c:pt>
                <c:pt idx="481">
                  <c:v>18.134423655094807</c:v>
                </c:pt>
                <c:pt idx="482">
                  <c:v>18.134423655094807</c:v>
                </c:pt>
                <c:pt idx="483">
                  <c:v>18.134423655094807</c:v>
                </c:pt>
                <c:pt idx="484">
                  <c:v>18.134423655094807</c:v>
                </c:pt>
                <c:pt idx="485">
                  <c:v>18.134423655094807</c:v>
                </c:pt>
                <c:pt idx="486">
                  <c:v>18.134423655094807</c:v>
                </c:pt>
                <c:pt idx="487">
                  <c:v>18.134423655094807</c:v>
                </c:pt>
                <c:pt idx="488">
                  <c:v>18.134423655094807</c:v>
                </c:pt>
                <c:pt idx="489">
                  <c:v>18.134423655094807</c:v>
                </c:pt>
                <c:pt idx="490">
                  <c:v>18.134423655094807</c:v>
                </c:pt>
                <c:pt idx="491">
                  <c:v>18.134423655094807</c:v>
                </c:pt>
                <c:pt idx="500">
                  <c:v>18.220815150770033</c:v>
                </c:pt>
                <c:pt idx="501">
                  <c:v>18.220815150770033</c:v>
                </c:pt>
                <c:pt idx="502">
                  <c:v>18.220815150770033</c:v>
                </c:pt>
                <c:pt idx="503">
                  <c:v>18.220815150770033</c:v>
                </c:pt>
                <c:pt idx="504">
                  <c:v>18.220815150770033</c:v>
                </c:pt>
                <c:pt idx="505">
                  <c:v>18.220815150770033</c:v>
                </c:pt>
                <c:pt idx="506">
                  <c:v>18.220815150770033</c:v>
                </c:pt>
                <c:pt idx="507">
                  <c:v>18.220815150770033</c:v>
                </c:pt>
                <c:pt idx="508">
                  <c:v>18.220815150770033</c:v>
                </c:pt>
                <c:pt idx="509">
                  <c:v>18.220815150770033</c:v>
                </c:pt>
                <c:pt idx="510">
                  <c:v>18.220815150770033</c:v>
                </c:pt>
                <c:pt idx="511">
                  <c:v>18.220815150770033</c:v>
                </c:pt>
                <c:pt idx="520">
                  <c:v>18.30010957021155</c:v>
                </c:pt>
                <c:pt idx="521">
                  <c:v>18.30010957021155</c:v>
                </c:pt>
                <c:pt idx="522">
                  <c:v>18.30010957021155</c:v>
                </c:pt>
                <c:pt idx="523">
                  <c:v>18.30010957021155</c:v>
                </c:pt>
                <c:pt idx="524">
                  <c:v>18.30010957021155</c:v>
                </c:pt>
                <c:pt idx="525">
                  <c:v>18.30010957021155</c:v>
                </c:pt>
                <c:pt idx="526">
                  <c:v>18.30010957021155</c:v>
                </c:pt>
                <c:pt idx="527">
                  <c:v>18.30010957021155</c:v>
                </c:pt>
                <c:pt idx="528">
                  <c:v>18.30010957021155</c:v>
                </c:pt>
                <c:pt idx="529">
                  <c:v>18.30010957021155</c:v>
                </c:pt>
                <c:pt idx="530">
                  <c:v>18.30010957021155</c:v>
                </c:pt>
                <c:pt idx="531">
                  <c:v>18.30010957021155</c:v>
                </c:pt>
                <c:pt idx="540">
                  <c:v>18.372879989651032</c:v>
                </c:pt>
                <c:pt idx="541">
                  <c:v>18.372879989651032</c:v>
                </c:pt>
                <c:pt idx="542">
                  <c:v>18.372879989651032</c:v>
                </c:pt>
                <c:pt idx="543">
                  <c:v>18.372879989651032</c:v>
                </c:pt>
                <c:pt idx="544">
                  <c:v>18.372879989651032</c:v>
                </c:pt>
                <c:pt idx="545">
                  <c:v>18.372879989651032</c:v>
                </c:pt>
                <c:pt idx="546">
                  <c:v>18.372879989651032</c:v>
                </c:pt>
                <c:pt idx="547">
                  <c:v>18.372879989651032</c:v>
                </c:pt>
                <c:pt idx="548">
                  <c:v>18.372879989651032</c:v>
                </c:pt>
                <c:pt idx="549">
                  <c:v>18.372879989651032</c:v>
                </c:pt>
                <c:pt idx="550">
                  <c:v>18.372879989651032</c:v>
                </c:pt>
                <c:pt idx="551">
                  <c:v>18.372879989651032</c:v>
                </c:pt>
                <c:pt idx="560">
                  <c:v>18.439655967432145</c:v>
                </c:pt>
                <c:pt idx="561">
                  <c:v>18.439655967432145</c:v>
                </c:pt>
                <c:pt idx="562">
                  <c:v>18.439655967432145</c:v>
                </c:pt>
                <c:pt idx="563">
                  <c:v>18.439655967432145</c:v>
                </c:pt>
                <c:pt idx="564">
                  <c:v>18.439655967432145</c:v>
                </c:pt>
                <c:pt idx="565">
                  <c:v>18.439655967432145</c:v>
                </c:pt>
                <c:pt idx="566">
                  <c:v>18.439655967432145</c:v>
                </c:pt>
                <c:pt idx="567">
                  <c:v>18.439655967432145</c:v>
                </c:pt>
                <c:pt idx="568">
                  <c:v>18.439655967432145</c:v>
                </c:pt>
                <c:pt idx="569">
                  <c:v>18.439655967432145</c:v>
                </c:pt>
                <c:pt idx="570">
                  <c:v>18.439655967432145</c:v>
                </c:pt>
                <c:pt idx="571">
                  <c:v>18.439655967432145</c:v>
                </c:pt>
                <c:pt idx="580">
                  <c:v>18.500926284126972</c:v>
                </c:pt>
                <c:pt idx="581">
                  <c:v>18.500926284126972</c:v>
                </c:pt>
                <c:pt idx="582">
                  <c:v>18.500926284126972</c:v>
                </c:pt>
                <c:pt idx="583">
                  <c:v>18.500926284126972</c:v>
                </c:pt>
                <c:pt idx="584">
                  <c:v>18.500926284126972</c:v>
                </c:pt>
                <c:pt idx="585">
                  <c:v>18.500926284126972</c:v>
                </c:pt>
                <c:pt idx="586">
                  <c:v>18.500926284126972</c:v>
                </c:pt>
                <c:pt idx="587">
                  <c:v>18.500926284126972</c:v>
                </c:pt>
                <c:pt idx="588">
                  <c:v>18.500926284126972</c:v>
                </c:pt>
                <c:pt idx="589">
                  <c:v>18.500926284126972</c:v>
                </c:pt>
                <c:pt idx="590">
                  <c:v>18.500926284126972</c:v>
                </c:pt>
                <c:pt idx="591">
                  <c:v>18.500926284126972</c:v>
                </c:pt>
                <c:pt idx="600">
                  <c:v>18.557141624060598</c:v>
                </c:pt>
                <c:pt idx="601">
                  <c:v>18.557141624060598</c:v>
                </c:pt>
                <c:pt idx="602">
                  <c:v>18.557141624060598</c:v>
                </c:pt>
                <c:pt idx="603">
                  <c:v>18.557141624060598</c:v>
                </c:pt>
                <c:pt idx="604">
                  <c:v>18.557141624060598</c:v>
                </c:pt>
                <c:pt idx="605">
                  <c:v>18.557141624060598</c:v>
                </c:pt>
                <c:pt idx="606">
                  <c:v>18.557141624060598</c:v>
                </c:pt>
                <c:pt idx="607">
                  <c:v>18.557141624060598</c:v>
                </c:pt>
                <c:pt idx="608">
                  <c:v>18.557141624060598</c:v>
                </c:pt>
                <c:pt idx="609">
                  <c:v>18.557141624060598</c:v>
                </c:pt>
                <c:pt idx="610">
                  <c:v>18.557141624060598</c:v>
                </c:pt>
                <c:pt idx="611">
                  <c:v>18.557141624060598</c:v>
                </c:pt>
                <c:pt idx="620">
                  <c:v>18.608717172243988</c:v>
                </c:pt>
                <c:pt idx="621">
                  <c:v>18.608717172243988</c:v>
                </c:pt>
                <c:pt idx="622">
                  <c:v>18.608717172243988</c:v>
                </c:pt>
                <c:pt idx="623">
                  <c:v>18.608717172243988</c:v>
                </c:pt>
                <c:pt idx="624">
                  <c:v>18.608717172243988</c:v>
                </c:pt>
                <c:pt idx="625">
                  <c:v>18.608717172243988</c:v>
                </c:pt>
                <c:pt idx="626">
                  <c:v>18.608717172243988</c:v>
                </c:pt>
                <c:pt idx="627">
                  <c:v>18.608717172243988</c:v>
                </c:pt>
                <c:pt idx="628">
                  <c:v>18.608717172243988</c:v>
                </c:pt>
                <c:pt idx="629">
                  <c:v>18.608717172243988</c:v>
                </c:pt>
                <c:pt idx="630">
                  <c:v>18.608717172243988</c:v>
                </c:pt>
                <c:pt idx="631">
                  <c:v>18.608717172243988</c:v>
                </c:pt>
                <c:pt idx="640">
                  <c:v>18.656035108354583</c:v>
                </c:pt>
                <c:pt idx="641">
                  <c:v>18.656035108354583</c:v>
                </c:pt>
                <c:pt idx="642">
                  <c:v>18.656035108354583</c:v>
                </c:pt>
                <c:pt idx="643">
                  <c:v>18.656035108354583</c:v>
                </c:pt>
                <c:pt idx="644">
                  <c:v>18.656035108354583</c:v>
                </c:pt>
                <c:pt idx="645">
                  <c:v>18.656035108354583</c:v>
                </c:pt>
                <c:pt idx="646">
                  <c:v>18.656035108354583</c:v>
                </c:pt>
                <c:pt idx="647">
                  <c:v>18.656035108354583</c:v>
                </c:pt>
                <c:pt idx="648">
                  <c:v>18.656035108354583</c:v>
                </c:pt>
                <c:pt idx="649">
                  <c:v>18.656035108354583</c:v>
                </c:pt>
                <c:pt idx="650">
                  <c:v>18.656035108354583</c:v>
                </c:pt>
                <c:pt idx="651">
                  <c:v>18.656035108354583</c:v>
                </c:pt>
                <c:pt idx="660">
                  <c:v>18.699446985445825</c:v>
                </c:pt>
                <c:pt idx="661">
                  <c:v>18.699446985445825</c:v>
                </c:pt>
                <c:pt idx="662">
                  <c:v>18.699446985445825</c:v>
                </c:pt>
                <c:pt idx="663">
                  <c:v>18.699446985445825</c:v>
                </c:pt>
                <c:pt idx="664">
                  <c:v>18.699446985445825</c:v>
                </c:pt>
                <c:pt idx="665">
                  <c:v>18.699446985445825</c:v>
                </c:pt>
                <c:pt idx="666">
                  <c:v>18.699446985445825</c:v>
                </c:pt>
                <c:pt idx="667">
                  <c:v>18.699446985445825</c:v>
                </c:pt>
                <c:pt idx="668">
                  <c:v>18.699446985445825</c:v>
                </c:pt>
                <c:pt idx="669">
                  <c:v>18.699446985445825</c:v>
                </c:pt>
                <c:pt idx="670">
                  <c:v>18.699446985445825</c:v>
                </c:pt>
                <c:pt idx="671">
                  <c:v>18.699446985445825</c:v>
                </c:pt>
                <c:pt idx="680">
                  <c:v>18.739275985814995</c:v>
                </c:pt>
                <c:pt idx="681">
                  <c:v>18.739275985814995</c:v>
                </c:pt>
                <c:pt idx="682">
                  <c:v>18.739275985814995</c:v>
                </c:pt>
                <c:pt idx="683">
                  <c:v>18.739275985814995</c:v>
                </c:pt>
                <c:pt idx="684">
                  <c:v>18.739275985814995</c:v>
                </c:pt>
                <c:pt idx="685">
                  <c:v>18.739275985814995</c:v>
                </c:pt>
                <c:pt idx="686">
                  <c:v>18.739275985814995</c:v>
                </c:pt>
                <c:pt idx="687">
                  <c:v>18.739275985814995</c:v>
                </c:pt>
                <c:pt idx="688">
                  <c:v>18.739275985814995</c:v>
                </c:pt>
                <c:pt idx="689">
                  <c:v>18.739275985814995</c:v>
                </c:pt>
                <c:pt idx="690">
                  <c:v>18.739275985814995</c:v>
                </c:pt>
                <c:pt idx="691">
                  <c:v>18.739275985814995</c:v>
                </c:pt>
                <c:pt idx="700">
                  <c:v>18.77581905015904</c:v>
                </c:pt>
                <c:pt idx="701">
                  <c:v>18.77581905015904</c:v>
                </c:pt>
                <c:pt idx="702">
                  <c:v>18.77581905015904</c:v>
                </c:pt>
                <c:pt idx="703">
                  <c:v>18.77581905015904</c:v>
                </c:pt>
                <c:pt idx="704">
                  <c:v>18.77581905015904</c:v>
                </c:pt>
                <c:pt idx="705">
                  <c:v>18.77581905015904</c:v>
                </c:pt>
                <c:pt idx="706">
                  <c:v>18.77581905015904</c:v>
                </c:pt>
                <c:pt idx="707">
                  <c:v>18.77581905015904</c:v>
                </c:pt>
                <c:pt idx="708">
                  <c:v>18.77581905015904</c:v>
                </c:pt>
                <c:pt idx="709">
                  <c:v>18.77581905015904</c:v>
                </c:pt>
                <c:pt idx="710">
                  <c:v>18.77581905015904</c:v>
                </c:pt>
                <c:pt idx="711">
                  <c:v>18.77581905015904</c:v>
                </c:pt>
                <c:pt idx="720">
                  <c:v>18.809348879000339</c:v>
                </c:pt>
                <c:pt idx="721">
                  <c:v>18.809348879000339</c:v>
                </c:pt>
                <c:pt idx="722">
                  <c:v>18.809348879000339</c:v>
                </c:pt>
                <c:pt idx="723">
                  <c:v>18.809348879000339</c:v>
                </c:pt>
                <c:pt idx="724">
                  <c:v>18.809348879000339</c:v>
                </c:pt>
                <c:pt idx="725">
                  <c:v>18.809348879000339</c:v>
                </c:pt>
                <c:pt idx="726">
                  <c:v>18.809348879000339</c:v>
                </c:pt>
                <c:pt idx="727">
                  <c:v>18.809348879000339</c:v>
                </c:pt>
                <c:pt idx="728">
                  <c:v>18.809348879000339</c:v>
                </c:pt>
                <c:pt idx="729">
                  <c:v>18.809348879000339</c:v>
                </c:pt>
                <c:pt idx="730">
                  <c:v>18.809348879000339</c:v>
                </c:pt>
                <c:pt idx="731">
                  <c:v>18.809348879000339</c:v>
                </c:pt>
                <c:pt idx="740">
                  <c:v>18.840115807535312</c:v>
                </c:pt>
                <c:pt idx="741">
                  <c:v>18.840115807535312</c:v>
                </c:pt>
                <c:pt idx="742">
                  <c:v>18.840115807535312</c:v>
                </c:pt>
                <c:pt idx="743">
                  <c:v>18.840115807535312</c:v>
                </c:pt>
                <c:pt idx="744">
                  <c:v>18.840115807535312</c:v>
                </c:pt>
                <c:pt idx="745">
                  <c:v>18.840115807535312</c:v>
                </c:pt>
                <c:pt idx="746">
                  <c:v>18.840115807535312</c:v>
                </c:pt>
                <c:pt idx="747">
                  <c:v>18.840115807535312</c:v>
                </c:pt>
                <c:pt idx="748">
                  <c:v>18.840115807535312</c:v>
                </c:pt>
                <c:pt idx="749">
                  <c:v>18.840115807535312</c:v>
                </c:pt>
                <c:pt idx="750">
                  <c:v>18.840115807535312</c:v>
                </c:pt>
                <c:pt idx="751">
                  <c:v>18.840115807535312</c:v>
                </c:pt>
                <c:pt idx="760">
                  <c:v>18.868349556681167</c:v>
                </c:pt>
                <c:pt idx="761">
                  <c:v>18.868349556681167</c:v>
                </c:pt>
                <c:pt idx="762">
                  <c:v>18.868349556681167</c:v>
                </c:pt>
                <c:pt idx="763">
                  <c:v>18.868349556681167</c:v>
                </c:pt>
                <c:pt idx="764">
                  <c:v>18.868349556681167</c:v>
                </c:pt>
                <c:pt idx="765">
                  <c:v>18.868349556681167</c:v>
                </c:pt>
                <c:pt idx="766">
                  <c:v>18.868349556681167</c:v>
                </c:pt>
                <c:pt idx="767">
                  <c:v>18.868349556681167</c:v>
                </c:pt>
                <c:pt idx="768">
                  <c:v>18.868349556681167</c:v>
                </c:pt>
                <c:pt idx="769">
                  <c:v>18.868349556681167</c:v>
                </c:pt>
                <c:pt idx="770">
                  <c:v>18.868349556681167</c:v>
                </c:pt>
                <c:pt idx="771">
                  <c:v>18.868349556681167</c:v>
                </c:pt>
                <c:pt idx="780">
                  <c:v>18.894260864280909</c:v>
                </c:pt>
                <c:pt idx="781">
                  <c:v>18.894260864280909</c:v>
                </c:pt>
                <c:pt idx="782">
                  <c:v>18.894260864280909</c:v>
                </c:pt>
                <c:pt idx="783">
                  <c:v>18.894260864280909</c:v>
                </c:pt>
                <c:pt idx="784">
                  <c:v>18.894260864280909</c:v>
                </c:pt>
                <c:pt idx="785">
                  <c:v>18.894260864280909</c:v>
                </c:pt>
                <c:pt idx="786">
                  <c:v>18.894260864280909</c:v>
                </c:pt>
                <c:pt idx="787">
                  <c:v>18.894260864280909</c:v>
                </c:pt>
                <c:pt idx="788">
                  <c:v>18.894260864280909</c:v>
                </c:pt>
                <c:pt idx="789">
                  <c:v>18.894260864280909</c:v>
                </c:pt>
                <c:pt idx="790">
                  <c:v>18.894260864280909</c:v>
                </c:pt>
                <c:pt idx="791">
                  <c:v>18.894260864280909</c:v>
                </c:pt>
                <c:pt idx="800">
                  <c:v>18.918043001261093</c:v>
                </c:pt>
                <c:pt idx="801">
                  <c:v>18.918043001261093</c:v>
                </c:pt>
                <c:pt idx="802">
                  <c:v>18.918043001261093</c:v>
                </c:pt>
                <c:pt idx="803">
                  <c:v>18.918043001261093</c:v>
                </c:pt>
                <c:pt idx="804">
                  <c:v>18.918043001261093</c:v>
                </c:pt>
                <c:pt idx="805">
                  <c:v>18.918043001261093</c:v>
                </c:pt>
                <c:pt idx="806">
                  <c:v>18.918043001261093</c:v>
                </c:pt>
                <c:pt idx="807">
                  <c:v>18.918043001261093</c:v>
                </c:pt>
                <c:pt idx="808">
                  <c:v>18.918043001261093</c:v>
                </c:pt>
                <c:pt idx="809">
                  <c:v>18.918043001261093</c:v>
                </c:pt>
                <c:pt idx="810">
                  <c:v>18.918043001261093</c:v>
                </c:pt>
                <c:pt idx="811">
                  <c:v>18.918043001261093</c:v>
                </c:pt>
                <c:pt idx="820">
                  <c:v>18.939873178097276</c:v>
                </c:pt>
                <c:pt idx="821">
                  <c:v>18.939873178097276</c:v>
                </c:pt>
                <c:pt idx="822">
                  <c:v>18.939873178097276</c:v>
                </c:pt>
                <c:pt idx="823">
                  <c:v>18.939873178097276</c:v>
                </c:pt>
                <c:pt idx="824">
                  <c:v>18.939873178097276</c:v>
                </c:pt>
                <c:pt idx="825">
                  <c:v>18.939873178097276</c:v>
                </c:pt>
                <c:pt idx="826">
                  <c:v>18.939873178097276</c:v>
                </c:pt>
                <c:pt idx="827">
                  <c:v>18.939873178097276</c:v>
                </c:pt>
                <c:pt idx="828">
                  <c:v>18.939873178097276</c:v>
                </c:pt>
                <c:pt idx="829">
                  <c:v>18.939873178097276</c:v>
                </c:pt>
                <c:pt idx="830">
                  <c:v>18.939873178097276</c:v>
                </c:pt>
                <c:pt idx="831">
                  <c:v>18.939873178097276</c:v>
                </c:pt>
                <c:pt idx="840">
                  <c:v>18.959913847283694</c:v>
                </c:pt>
                <c:pt idx="841">
                  <c:v>18.959913847283694</c:v>
                </c:pt>
                <c:pt idx="842">
                  <c:v>18.959913847283694</c:v>
                </c:pt>
                <c:pt idx="843">
                  <c:v>18.959913847283694</c:v>
                </c:pt>
                <c:pt idx="844">
                  <c:v>18.959913847283694</c:v>
                </c:pt>
                <c:pt idx="845">
                  <c:v>18.959913847283694</c:v>
                </c:pt>
                <c:pt idx="846">
                  <c:v>18.959913847283694</c:v>
                </c:pt>
                <c:pt idx="847">
                  <c:v>18.959913847283694</c:v>
                </c:pt>
                <c:pt idx="848">
                  <c:v>18.959913847283694</c:v>
                </c:pt>
                <c:pt idx="849">
                  <c:v>18.959913847283694</c:v>
                </c:pt>
                <c:pt idx="850">
                  <c:v>18.959913847283694</c:v>
                </c:pt>
                <c:pt idx="851">
                  <c:v>18.959913847283694</c:v>
                </c:pt>
                <c:pt idx="860">
                  <c:v>18.978313907676046</c:v>
                </c:pt>
                <c:pt idx="861">
                  <c:v>18.978313907676046</c:v>
                </c:pt>
                <c:pt idx="862">
                  <c:v>18.978313907676046</c:v>
                </c:pt>
                <c:pt idx="863">
                  <c:v>18.978313907676046</c:v>
                </c:pt>
                <c:pt idx="864">
                  <c:v>18.978313907676046</c:v>
                </c:pt>
                <c:pt idx="865">
                  <c:v>18.978313907676046</c:v>
                </c:pt>
                <c:pt idx="866">
                  <c:v>18.978313907676046</c:v>
                </c:pt>
                <c:pt idx="867">
                  <c:v>18.978313907676046</c:v>
                </c:pt>
                <c:pt idx="868">
                  <c:v>18.978313907676046</c:v>
                </c:pt>
                <c:pt idx="869">
                  <c:v>18.978313907676046</c:v>
                </c:pt>
                <c:pt idx="870">
                  <c:v>18.978313907676046</c:v>
                </c:pt>
                <c:pt idx="871">
                  <c:v>18.978313907676046</c:v>
                </c:pt>
                <c:pt idx="880">
                  <c:v>18.995209816619742</c:v>
                </c:pt>
                <c:pt idx="881">
                  <c:v>18.995209816619742</c:v>
                </c:pt>
                <c:pt idx="882">
                  <c:v>18.995209816619742</c:v>
                </c:pt>
                <c:pt idx="883">
                  <c:v>18.995209816619742</c:v>
                </c:pt>
                <c:pt idx="884">
                  <c:v>18.995209816619742</c:v>
                </c:pt>
                <c:pt idx="885">
                  <c:v>18.995209816619742</c:v>
                </c:pt>
                <c:pt idx="886">
                  <c:v>18.995209816619742</c:v>
                </c:pt>
                <c:pt idx="887">
                  <c:v>18.995209816619742</c:v>
                </c:pt>
                <c:pt idx="888">
                  <c:v>18.995209816619742</c:v>
                </c:pt>
                <c:pt idx="889">
                  <c:v>18.995209816619742</c:v>
                </c:pt>
                <c:pt idx="890">
                  <c:v>18.995209816619742</c:v>
                </c:pt>
                <c:pt idx="891">
                  <c:v>18.995209816619742</c:v>
                </c:pt>
              </c:numCache>
            </c:numRef>
          </c:val>
          <c:extLst xmlns:c16r2="http://schemas.microsoft.com/office/drawing/2015/06/chart">
            <c:ext xmlns:c16="http://schemas.microsoft.com/office/drawing/2014/chart" uri="{C3380CC4-5D6E-409C-BE32-E72D297353CC}">
              <c16:uniqueId val="{00000000-7C75-408B-BEF2-7A47638A988E}"/>
            </c:ext>
          </c:extLst>
        </c:ser>
        <c:axId val="123756928"/>
        <c:axId val="123758464"/>
      </c:barChart>
      <c:catAx>
        <c:axId val="123756928"/>
        <c:scaling>
          <c:orientation val="minMax"/>
        </c:scaling>
        <c:axPos val="b"/>
        <c:tickLblPos val="nextTo"/>
        <c:crossAx val="123758464"/>
        <c:crosses val="autoZero"/>
        <c:auto val="1"/>
        <c:lblAlgn val="ctr"/>
        <c:lblOffset val="100"/>
      </c:catAx>
      <c:valAx>
        <c:axId val="123758464"/>
        <c:scaling>
          <c:orientation val="minMax"/>
        </c:scaling>
        <c:axPos val="l"/>
        <c:majorGridlines/>
        <c:numFmt formatCode="General" sourceLinked="1"/>
        <c:tickLblPos val="nextTo"/>
        <c:crossAx val="123756928"/>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Poměr výpočtů: Ztráty Pa/m  / rychlost m/s</a:t>
            </a:r>
          </a:p>
        </c:rich>
      </c:tx>
    </c:title>
    <c:plotArea>
      <c:layout/>
      <c:scatterChart>
        <c:scatterStyle val="lineMarker"/>
        <c:ser>
          <c:idx val="0"/>
          <c:order val="0"/>
          <c:tx>
            <c:strRef>
              <c:f>'10 těles'!$BF$35</c:f>
              <c:strCache>
                <c:ptCount val="1"/>
                <c:pt idx="0">
                  <c:v>poměr</c:v>
                </c:pt>
              </c:strCache>
            </c:strRef>
          </c:tx>
          <c:xVal>
            <c:numRef>
              <c:f>'10 těles'!$BB$40:$BB$57</c:f>
              <c:numCache>
                <c:formatCode>General</c:formatCode>
                <c:ptCount val="18"/>
                <c:pt idx="0">
                  <c:v>0.3</c:v>
                </c:pt>
                <c:pt idx="1">
                  <c:v>0.6</c:v>
                </c:pt>
                <c:pt idx="2">
                  <c:v>1.2</c:v>
                </c:pt>
                <c:pt idx="4">
                  <c:v>0.3</c:v>
                </c:pt>
                <c:pt idx="5">
                  <c:v>0.6</c:v>
                </c:pt>
                <c:pt idx="6">
                  <c:v>1.2</c:v>
                </c:pt>
                <c:pt idx="8">
                  <c:v>0.3</c:v>
                </c:pt>
                <c:pt idx="9">
                  <c:v>0.6</c:v>
                </c:pt>
                <c:pt idx="10">
                  <c:v>1.2</c:v>
                </c:pt>
                <c:pt idx="12">
                  <c:v>0.3</c:v>
                </c:pt>
                <c:pt idx="13">
                  <c:v>0.6</c:v>
                </c:pt>
                <c:pt idx="14">
                  <c:v>1.2</c:v>
                </c:pt>
                <c:pt idx="16">
                  <c:v>0.3</c:v>
                </c:pt>
                <c:pt idx="17">
                  <c:v>0.6</c:v>
                </c:pt>
              </c:numCache>
            </c:numRef>
          </c:xVal>
          <c:yVal>
            <c:numRef>
              <c:f>'10 těles'!$BF$40:$BF$57</c:f>
              <c:numCache>
                <c:formatCode>General</c:formatCode>
                <c:ptCount val="18"/>
                <c:pt idx="0">
                  <c:v>0.99400120121257973</c:v>
                </c:pt>
                <c:pt idx="1">
                  <c:v>1.0050572505020621</c:v>
                </c:pt>
                <c:pt idx="2">
                  <c:v>0.98910359141345705</c:v>
                </c:pt>
                <c:pt idx="4">
                  <c:v>0.995818368343518</c:v>
                </c:pt>
                <c:pt idx="5">
                  <c:v>1.0124597653414709</c:v>
                </c:pt>
                <c:pt idx="6">
                  <c:v>0.99361345833927783</c:v>
                </c:pt>
                <c:pt idx="8">
                  <c:v>1.0023167632781544</c:v>
                </c:pt>
                <c:pt idx="9">
                  <c:v>1.0114530040334044</c:v>
                </c:pt>
                <c:pt idx="10">
                  <c:v>0.9969033771039234</c:v>
                </c:pt>
                <c:pt idx="12">
                  <c:v>0.9930001682801658</c:v>
                </c:pt>
                <c:pt idx="13">
                  <c:v>1.0125499016543025</c:v>
                </c:pt>
                <c:pt idx="14">
                  <c:v>0.99957446749579926</c:v>
                </c:pt>
                <c:pt idx="16">
                  <c:v>0.99101159550185991</c:v>
                </c:pt>
                <c:pt idx="17">
                  <c:v>1.0121806383335226</c:v>
                </c:pt>
              </c:numCache>
            </c:numRef>
          </c:yVal>
          <c:extLst xmlns:c16r2="http://schemas.microsoft.com/office/drawing/2015/06/chart">
            <c:ext xmlns:c16="http://schemas.microsoft.com/office/drawing/2014/chart" uri="{C3380CC4-5D6E-409C-BE32-E72D297353CC}">
              <c16:uniqueId val="{00000000-5257-45E2-B1E6-FC2379227E8A}"/>
            </c:ext>
          </c:extLst>
        </c:ser>
        <c:axId val="153807872"/>
        <c:axId val="153826048"/>
      </c:scatterChart>
      <c:valAx>
        <c:axId val="153807872"/>
        <c:scaling>
          <c:orientation val="minMax"/>
        </c:scaling>
        <c:axPos val="b"/>
        <c:numFmt formatCode="General" sourceLinked="1"/>
        <c:tickLblPos val="nextTo"/>
        <c:crossAx val="153826048"/>
        <c:crosses val="autoZero"/>
        <c:crossBetween val="midCat"/>
      </c:valAx>
      <c:valAx>
        <c:axId val="153826048"/>
        <c:scaling>
          <c:orientation val="minMax"/>
        </c:scaling>
        <c:axPos val="l"/>
        <c:majorGridlines/>
        <c:numFmt formatCode="General" sourceLinked="1"/>
        <c:tickLblPos val="nextTo"/>
        <c:crossAx val="15380787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000" baseline="0"/>
              <a:t>dosaženost výkonu</a:t>
            </a:r>
            <a:r>
              <a:rPr lang="cs-CZ" sz="1000" baseline="0"/>
              <a:t> /</a:t>
            </a:r>
          </a:p>
          <a:p>
            <a:pPr>
              <a:defRPr/>
            </a:pPr>
            <a:r>
              <a:rPr lang="cs-CZ" sz="1000" baseline="0"/>
              <a:t> podíl stoupaček</a:t>
            </a:r>
            <a:endParaRPr lang="en-US" sz="1000" baseline="0"/>
          </a:p>
        </c:rich>
      </c:tx>
    </c:title>
    <c:plotArea>
      <c:layout/>
      <c:barChart>
        <c:barDir val="bar"/>
        <c:grouping val="clustered"/>
        <c:ser>
          <c:idx val="0"/>
          <c:order val="0"/>
          <c:tx>
            <c:strRef>
              <c:f>'10 těles'!$AF$25</c:f>
              <c:strCache>
                <c:ptCount val="1"/>
                <c:pt idx="0">
                  <c:v>dosaženost výkonu</c:v>
                </c:pt>
              </c:strCache>
            </c:strRef>
          </c:tx>
          <c:val>
            <c:numRef>
              <c:f>'10 těles'!$AF$26:$AF$36</c:f>
              <c:numCache>
                <c:formatCode>General</c:formatCode>
                <c:ptCount val="11"/>
                <c:pt idx="0">
                  <c:v>0.99905926106678211</c:v>
                </c:pt>
                <c:pt idx="1">
                  <c:v>0.99947369720310475</c:v>
                </c:pt>
                <c:pt idx="2">
                  <c:v>0.99967189986606864</c:v>
                </c:pt>
                <c:pt idx="3">
                  <c:v>0.99979152330794918</c:v>
                </c:pt>
                <c:pt idx="4">
                  <c:v>0.99987004380852351</c:v>
                </c:pt>
                <c:pt idx="5">
                  <c:v>0.99992354745628942</c:v>
                </c:pt>
                <c:pt idx="6">
                  <c:v>0.99996052543417135</c:v>
                </c:pt>
                <c:pt idx="7">
                  <c:v>0.99998602829246575</c:v>
                </c:pt>
                <c:pt idx="8">
                  <c:v>1.0000033014728171</c:v>
                </c:pt>
                <c:pt idx="9">
                  <c:v>1.0000145451649591</c:v>
                </c:pt>
              </c:numCache>
            </c:numRef>
          </c:val>
          <c:extLst xmlns:c16r2="http://schemas.microsoft.com/office/drawing/2015/06/chart">
            <c:ext xmlns:c16="http://schemas.microsoft.com/office/drawing/2014/chart" uri="{C3380CC4-5D6E-409C-BE32-E72D297353CC}">
              <c16:uniqueId val="{00000000-B08D-44B0-AB74-426F320B92A3}"/>
            </c:ext>
          </c:extLst>
        </c:ser>
        <c:ser>
          <c:idx val="1"/>
          <c:order val="1"/>
          <c:tx>
            <c:strRef>
              <c:f>'10 těles'!$AG$25</c:f>
              <c:strCache>
                <c:ptCount val="1"/>
                <c:pt idx="0">
                  <c:v>podíl stoupaček</c:v>
                </c:pt>
              </c:strCache>
            </c:strRef>
          </c:tx>
          <c:val>
            <c:numRef>
              <c:f>'10 těles'!$AG$26:$AG$36</c:f>
              <c:numCache>
                <c:formatCode>General</c:formatCode>
                <c:ptCount val="11"/>
                <c:pt idx="0">
                  <c:v>0.11455367212466848</c:v>
                </c:pt>
                <c:pt idx="1">
                  <c:v>0.15394516616164938</c:v>
                </c:pt>
                <c:pt idx="2">
                  <c:v>0.18413427372560748</c:v>
                </c:pt>
                <c:pt idx="3">
                  <c:v>0.20956104804566314</c:v>
                </c:pt>
                <c:pt idx="4">
                  <c:v>0.23194558382005592</c:v>
                </c:pt>
                <c:pt idx="5">
                  <c:v>0.25216999750439112</c:v>
                </c:pt>
                <c:pt idx="6">
                  <c:v>0.27075825591188185</c:v>
                </c:pt>
                <c:pt idx="7">
                  <c:v>0.28805171998042817</c:v>
                </c:pt>
                <c:pt idx="8">
                  <c:v>0.30428748115300414</c:v>
                </c:pt>
                <c:pt idx="9">
                  <c:v>0.3196381546630141</c:v>
                </c:pt>
              </c:numCache>
            </c:numRef>
          </c:val>
          <c:extLst xmlns:c16r2="http://schemas.microsoft.com/office/drawing/2015/06/chart">
            <c:ext xmlns:c16="http://schemas.microsoft.com/office/drawing/2014/chart" uri="{C3380CC4-5D6E-409C-BE32-E72D297353CC}">
              <c16:uniqueId val="{00000001-B08D-44B0-AB74-426F320B92A3}"/>
            </c:ext>
          </c:extLst>
        </c:ser>
        <c:axId val="153862912"/>
        <c:axId val="153864448"/>
      </c:barChart>
      <c:catAx>
        <c:axId val="153862912"/>
        <c:scaling>
          <c:orientation val="maxMin"/>
        </c:scaling>
        <c:axPos val="l"/>
        <c:tickLblPos val="nextTo"/>
        <c:crossAx val="153864448"/>
        <c:crosses val="autoZero"/>
        <c:auto val="1"/>
        <c:lblAlgn val="ctr"/>
        <c:lblOffset val="100"/>
      </c:catAx>
      <c:valAx>
        <c:axId val="153864448"/>
        <c:scaling>
          <c:orientation val="minMax"/>
        </c:scaling>
        <c:axPos val="t"/>
        <c:majorGridlines/>
        <c:numFmt formatCode="General" sourceLinked="1"/>
        <c:tickLblPos val="nextTo"/>
        <c:crossAx val="15386291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a:t>rychlost</a:t>
            </a:r>
            <a:r>
              <a:rPr lang="cs-CZ" baseline="0"/>
              <a:t> chladnutí za den</a:t>
            </a:r>
            <a:endParaRPr lang="cs-CZ"/>
          </a:p>
        </c:rich>
      </c:tx>
    </c:title>
    <c:plotArea>
      <c:layout/>
      <c:scatterChart>
        <c:scatterStyle val="lineMarker"/>
        <c:ser>
          <c:idx val="0"/>
          <c:order val="0"/>
          <c:tx>
            <c:strRef>
              <c:f>'10 těles'!$AR$69</c:f>
              <c:strCache>
                <c:ptCount val="1"/>
                <c:pt idx="0">
                  <c:v>1200l</c:v>
                </c:pt>
              </c:strCache>
            </c:strRef>
          </c:tx>
          <c:marker>
            <c:symbol val="none"/>
          </c:marker>
          <c:xVal>
            <c:numRef>
              <c:f>'10 těles'!$AP$70:$AP$98</c:f>
              <c:numCache>
                <c:formatCode>General</c:formatCode>
                <c:ptCount val="29"/>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numCache>
            </c:numRef>
          </c:xVal>
          <c:yVal>
            <c:numRef>
              <c:f>'10 těles'!$AR$70:$AR$98</c:f>
              <c:numCache>
                <c:formatCode>General</c:formatCode>
                <c:ptCount val="29"/>
                <c:pt idx="0">
                  <c:v>80</c:v>
                </c:pt>
                <c:pt idx="1">
                  <c:v>79.332928466269678</c:v>
                </c:pt>
                <c:pt idx="2">
                  <c:v>78.673273339724588</c:v>
                </c:pt>
                <c:pt idx="3">
                  <c:v>78.020952165796103</c:v>
                </c:pt>
                <c:pt idx="4">
                  <c:v>77.375883406633932</c:v>
                </c:pt>
                <c:pt idx="5">
                  <c:v>76.73798643091402</c:v>
                </c:pt>
                <c:pt idx="6">
                  <c:v>76.107181503760017</c:v>
                </c:pt>
                <c:pt idx="7">
                  <c:v>75.483389776776704</c:v>
                </c:pt>
                <c:pt idx="8">
                  <c:v>74.866533278194169</c:v>
                </c:pt>
                <c:pt idx="9">
                  <c:v>74.256534903121661</c:v>
                </c:pt>
                <c:pt idx="10">
                  <c:v>73.653318403909708</c:v>
                </c:pt>
                <c:pt idx="11">
                  <c:v>73.056808380619415</c:v>
                </c:pt>
                <c:pt idx="12">
                  <c:v>72.466930271597818</c:v>
                </c:pt>
                <c:pt idx="13">
                  <c:v>71.883610344157887</c:v>
                </c:pt>
                <c:pt idx="14">
                  <c:v>71.306775685362169</c:v>
                </c:pt>
                <c:pt idx="15">
                  <c:v>70.736354192908962</c:v>
                </c:pt>
                <c:pt idx="16">
                  <c:v>70.172274566119825</c:v>
                </c:pt>
                <c:pt idx="17">
                  <c:v>69.61446629702715</c:v>
                </c:pt>
                <c:pt idx="18">
                  <c:v>69.062859661560992</c:v>
                </c:pt>
                <c:pt idx="19">
                  <c:v>68.517385710833793</c:v>
                </c:pt>
                <c:pt idx="20">
                  <c:v>67.977976262521935</c:v>
                </c:pt>
                <c:pt idx="21">
                  <c:v>67.444563892343311</c:v>
                </c:pt>
                <c:pt idx="22">
                  <c:v>66.917081925629446</c:v>
                </c:pt>
                <c:pt idx="23">
                  <c:v>66.395464428991431</c:v>
                </c:pt>
                <c:pt idx="24">
                  <c:v>65.879646202078476</c:v>
                </c:pt>
                <c:pt idx="25">
                  <c:v>65.369562769428057</c:v>
                </c:pt>
                <c:pt idx="26">
                  <c:v>64.865150372406788</c:v>
                </c:pt>
                <c:pt idx="27">
                  <c:v>64.366345961240739</c:v>
                </c:pt>
                <c:pt idx="28">
                  <c:v>63.873087187134495</c:v>
                </c:pt>
              </c:numCache>
            </c:numRef>
          </c:yVal>
          <c:extLst xmlns:c16r2="http://schemas.microsoft.com/office/drawing/2015/06/chart">
            <c:ext xmlns:c16="http://schemas.microsoft.com/office/drawing/2014/chart" uri="{C3380CC4-5D6E-409C-BE32-E72D297353CC}">
              <c16:uniqueId val="{00000000-3F86-4421-8FDF-41368105C7D9}"/>
            </c:ext>
          </c:extLst>
        </c:ser>
        <c:ser>
          <c:idx val="1"/>
          <c:order val="1"/>
          <c:tx>
            <c:strRef>
              <c:f>'10 těles'!$AS$69</c:f>
              <c:strCache>
                <c:ptCount val="1"/>
                <c:pt idx="0">
                  <c:v>160l</c:v>
                </c:pt>
              </c:strCache>
            </c:strRef>
          </c:tx>
          <c:marker>
            <c:symbol val="none"/>
          </c:marker>
          <c:xVal>
            <c:numRef>
              <c:f>'10 těles'!$AP$70:$AP$98</c:f>
              <c:numCache>
                <c:formatCode>General</c:formatCode>
                <c:ptCount val="29"/>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numCache>
            </c:numRef>
          </c:xVal>
          <c:yVal>
            <c:numRef>
              <c:f>'10 těles'!$AS$70:$AS$98</c:f>
              <c:numCache>
                <c:formatCode>General</c:formatCode>
                <c:ptCount val="29"/>
                <c:pt idx="0">
                  <c:v>80</c:v>
                </c:pt>
                <c:pt idx="1">
                  <c:v>77.375883406633932</c:v>
                </c:pt>
                <c:pt idx="2">
                  <c:v>74.866533278194169</c:v>
                </c:pt>
                <c:pt idx="3">
                  <c:v>72.466930271597818</c:v>
                </c:pt>
                <c:pt idx="4">
                  <c:v>70.172274566119825</c:v>
                </c:pt>
                <c:pt idx="5">
                  <c:v>67.977976262521935</c:v>
                </c:pt>
                <c:pt idx="6">
                  <c:v>65.879646202078476</c:v>
                </c:pt>
                <c:pt idx="7">
                  <c:v>63.873087187134495</c:v>
                </c:pt>
                <c:pt idx="8">
                  <c:v>61.954285585635226</c:v>
                </c:pt>
                <c:pt idx="9">
                  <c:v>60.119403302833824</c:v>
                </c:pt>
                <c:pt idx="10">
                  <c:v>58.364770104118627</c:v>
                </c:pt>
                <c:pt idx="11">
                  <c:v>56.686876273603758</c:v>
                </c:pt>
                <c:pt idx="12">
                  <c:v>55.082365593798229</c:v>
                </c:pt>
                <c:pt idx="13">
                  <c:v>53.548028632311215</c:v>
                </c:pt>
                <c:pt idx="14">
                  <c:v>52.080796322165085</c:v>
                </c:pt>
                <c:pt idx="15">
                  <c:v>50.67773382287524</c:v>
                </c:pt>
                <c:pt idx="16">
                  <c:v>49.336034650017339</c:v>
                </c:pt>
                <c:pt idx="17">
                  <c:v>48.053015061539462</c:v>
                </c:pt>
                <c:pt idx="18">
                  <c:v>46.826108689590562</c:v>
                </c:pt>
                <c:pt idx="19">
                  <c:v>45.65286140712729</c:v>
                </c:pt>
                <c:pt idx="20">
                  <c:v>44.530926419031246</c:v>
                </c:pt>
                <c:pt idx="21">
                  <c:v>43.458059567917545</c:v>
                </c:pt>
                <c:pt idx="22">
                  <c:v>42.432114845245174</c:v>
                </c:pt>
                <c:pt idx="23">
                  <c:v>41.451040098750155</c:v>
                </c:pt>
                <c:pt idx="24">
                  <c:v>40.512872927615298</c:v>
                </c:pt>
                <c:pt idx="25">
                  <c:v>39.615736757165884</c:v>
                </c:pt>
                <c:pt idx="26">
                  <c:v>38.757837085239558</c:v>
                </c:pt>
                <c:pt idx="27">
                  <c:v>37.937457892722307</c:v>
                </c:pt>
                <c:pt idx="28">
                  <c:v>37.152958211070683</c:v>
                </c:pt>
              </c:numCache>
            </c:numRef>
          </c:yVal>
          <c:extLst xmlns:c16r2="http://schemas.microsoft.com/office/drawing/2015/06/chart">
            <c:ext xmlns:c16="http://schemas.microsoft.com/office/drawing/2014/chart" uri="{C3380CC4-5D6E-409C-BE32-E72D297353CC}">
              <c16:uniqueId val="{00000001-3F86-4421-8FDF-41368105C7D9}"/>
            </c:ext>
          </c:extLst>
        </c:ser>
        <c:axId val="153880832"/>
        <c:axId val="153907200"/>
      </c:scatterChart>
      <c:valAx>
        <c:axId val="153880832"/>
        <c:scaling>
          <c:orientation val="minMax"/>
        </c:scaling>
        <c:axPos val="b"/>
        <c:majorGridlines/>
        <c:minorGridlines/>
        <c:numFmt formatCode="General" sourceLinked="1"/>
        <c:tickLblPos val="nextTo"/>
        <c:crossAx val="153907200"/>
        <c:crosses val="autoZero"/>
        <c:crossBetween val="midCat"/>
        <c:majorUnit val="1"/>
        <c:minorUnit val="0.5"/>
      </c:valAx>
      <c:valAx>
        <c:axId val="153907200"/>
        <c:scaling>
          <c:orientation val="minMax"/>
        </c:scaling>
        <c:axPos val="l"/>
        <c:majorGridlines/>
        <c:numFmt formatCode="General" sourceLinked="1"/>
        <c:tickLblPos val="nextTo"/>
        <c:crossAx val="15388083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plotArea>
      <c:layout/>
      <c:scatterChart>
        <c:scatterStyle val="lineMarker"/>
        <c:ser>
          <c:idx val="0"/>
          <c:order val="0"/>
          <c:tx>
            <c:strRef>
              <c:f>anuloid!$AJ$1</c:f>
              <c:strCache>
                <c:ptCount val="1"/>
                <c:pt idx="0">
                  <c:v>VÝSTUP KOTLE</c:v>
                </c:pt>
              </c:strCache>
            </c:strRef>
          </c:tx>
          <c:xVal>
            <c:numRef>
              <c:f>anuloid!$AI$2:$AI$7</c:f>
              <c:numCache>
                <c:formatCode>General</c:formatCode>
                <c:ptCount val="6"/>
                <c:pt idx="0">
                  <c:v>0.8</c:v>
                </c:pt>
                <c:pt idx="1">
                  <c:v>0.9</c:v>
                </c:pt>
                <c:pt idx="2">
                  <c:v>1</c:v>
                </c:pt>
                <c:pt idx="3">
                  <c:v>1.1000000000000001</c:v>
                </c:pt>
                <c:pt idx="4">
                  <c:v>1.2</c:v>
                </c:pt>
                <c:pt idx="5">
                  <c:v>1.3</c:v>
                </c:pt>
              </c:numCache>
            </c:numRef>
          </c:xVal>
          <c:yVal>
            <c:numRef>
              <c:f>anuloid!$AJ$2:$AJ$7</c:f>
              <c:numCache>
                <c:formatCode>General</c:formatCode>
                <c:ptCount val="6"/>
                <c:pt idx="0">
                  <c:v>76.25</c:v>
                </c:pt>
                <c:pt idx="1">
                  <c:v>75.555555555555557</c:v>
                </c:pt>
                <c:pt idx="2">
                  <c:v>75.000500025001244</c:v>
                </c:pt>
                <c:pt idx="3">
                  <c:v>75.455045479546698</c:v>
                </c:pt>
                <c:pt idx="4">
                  <c:v>75.833833358334573</c:v>
                </c:pt>
                <c:pt idx="5">
                  <c:v>76.154346178847405</c:v>
                </c:pt>
              </c:numCache>
            </c:numRef>
          </c:yVal>
          <c:extLst xmlns:c16r2="http://schemas.microsoft.com/office/drawing/2015/06/chart">
            <c:ext xmlns:c16="http://schemas.microsoft.com/office/drawing/2014/chart" uri="{C3380CC4-5D6E-409C-BE32-E72D297353CC}">
              <c16:uniqueId val="{00000000-4BB0-475B-AE8F-247E4ADC8C97}"/>
            </c:ext>
          </c:extLst>
        </c:ser>
        <c:axId val="155148288"/>
        <c:axId val="155149824"/>
      </c:scatterChart>
      <c:valAx>
        <c:axId val="155148288"/>
        <c:scaling>
          <c:orientation val="minMax"/>
          <c:max val="1.3"/>
          <c:min val="0.8"/>
        </c:scaling>
        <c:axPos val="b"/>
        <c:majorGridlines/>
        <c:numFmt formatCode="General" sourceLinked="1"/>
        <c:tickLblPos val="nextTo"/>
        <c:crossAx val="155149824"/>
        <c:crosses val="autoZero"/>
        <c:crossBetween val="midCat"/>
        <c:majorUnit val="0.1"/>
      </c:valAx>
      <c:valAx>
        <c:axId val="155149824"/>
        <c:scaling>
          <c:orientation val="minMax"/>
        </c:scaling>
        <c:axPos val="l"/>
        <c:majorGridlines/>
        <c:numFmt formatCode="General" sourceLinked="1"/>
        <c:tickLblPos val="nextTo"/>
        <c:crossAx val="15514828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Tlak vody, tlak v expanzi (bar) / teplota vody (°C)</a:t>
            </a:r>
          </a:p>
        </c:rich>
      </c:tx>
      <c:layout/>
    </c:title>
    <c:plotArea>
      <c:layout/>
      <c:scatterChart>
        <c:scatterStyle val="lineMarker"/>
        <c:ser>
          <c:idx val="0"/>
          <c:order val="0"/>
          <c:tx>
            <c:strRef>
              <c:f>expanze!$E$10</c:f>
              <c:strCache>
                <c:ptCount val="1"/>
                <c:pt idx="0">
                  <c:v>tlak (bar)</c:v>
                </c:pt>
              </c:strCache>
            </c:strRef>
          </c:tx>
          <c:xVal>
            <c:numRef>
              <c:f>expanze!$A$11:$A$18</c:f>
              <c:numCache>
                <c:formatCode>General</c:formatCode>
                <c:ptCount val="8"/>
                <c:pt idx="0">
                  <c:v>20</c:v>
                </c:pt>
                <c:pt idx="1">
                  <c:v>30</c:v>
                </c:pt>
                <c:pt idx="2">
                  <c:v>40</c:v>
                </c:pt>
                <c:pt idx="3">
                  <c:v>50</c:v>
                </c:pt>
                <c:pt idx="4">
                  <c:v>60</c:v>
                </c:pt>
                <c:pt idx="5">
                  <c:v>70</c:v>
                </c:pt>
                <c:pt idx="6">
                  <c:v>80</c:v>
                </c:pt>
                <c:pt idx="7">
                  <c:v>90</c:v>
                </c:pt>
              </c:numCache>
            </c:numRef>
          </c:xVal>
          <c:yVal>
            <c:numRef>
              <c:f>expanze!$E$11:$E$18</c:f>
              <c:numCache>
                <c:formatCode>General</c:formatCode>
                <c:ptCount val="8"/>
                <c:pt idx="0">
                  <c:v>1.1777777777777776</c:v>
                </c:pt>
                <c:pt idx="1">
                  <c:v>1.2413012896620188</c:v>
                </c:pt>
                <c:pt idx="2">
                  <c:v>1.3338654932238585</c:v>
                </c:pt>
                <c:pt idx="3">
                  <c:v>1.4588594870606526</c:v>
                </c:pt>
                <c:pt idx="4">
                  <c:v>1.6232743341039155</c:v>
                </c:pt>
                <c:pt idx="5">
                  <c:v>1.8387814158565572</c:v>
                </c:pt>
                <c:pt idx="6">
                  <c:v>2.1244448443009598</c:v>
                </c:pt>
                <c:pt idx="7">
                  <c:v>2.5124906678769703</c:v>
                </c:pt>
              </c:numCache>
            </c:numRef>
          </c:yVal>
          <c:extLst xmlns:c16r2="http://schemas.microsoft.com/office/drawing/2015/06/chart">
            <c:ext xmlns:c16="http://schemas.microsoft.com/office/drawing/2014/chart" uri="{C3380CC4-5D6E-409C-BE32-E72D297353CC}">
              <c16:uniqueId val="{00000000-43B4-40C8-844A-69E8BE04B1FA}"/>
            </c:ext>
          </c:extLst>
        </c:ser>
        <c:axId val="155194496"/>
        <c:axId val="155196032"/>
      </c:scatterChart>
      <c:valAx>
        <c:axId val="155194496"/>
        <c:scaling>
          <c:orientation val="minMax"/>
        </c:scaling>
        <c:axPos val="b"/>
        <c:majorGridlines/>
        <c:numFmt formatCode="General" sourceLinked="1"/>
        <c:tickLblPos val="nextTo"/>
        <c:crossAx val="155196032"/>
        <c:crosses val="autoZero"/>
        <c:crossBetween val="midCat"/>
        <c:majorUnit val="10"/>
      </c:valAx>
      <c:valAx>
        <c:axId val="155196032"/>
        <c:scaling>
          <c:orientation val="minMax"/>
        </c:scaling>
        <c:axPos val="l"/>
        <c:majorGridlines/>
        <c:minorGridlines/>
        <c:numFmt formatCode="General" sourceLinked="1"/>
        <c:tickLblPos val="nextTo"/>
        <c:crossAx val="155194496"/>
        <c:crosses val="autoZero"/>
        <c:crossBetween val="midCat"/>
      </c:valAx>
    </c:plotArea>
    <c:legend>
      <c:legendPos val="r"/>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layout/>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plotArea>
      <c:layout/>
      <c:scatterChart>
        <c:scatterStyle val="lineMarker"/>
        <c:ser>
          <c:idx val="0"/>
          <c:order val="0"/>
          <c:tx>
            <c:strRef>
              <c:f>expanze!$H$37</c:f>
              <c:strCache>
                <c:ptCount val="1"/>
                <c:pt idx="0">
                  <c:v>tlak</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expanze!$G$38:$G$42</c:f>
              <c:numCache>
                <c:formatCode>General</c:formatCode>
                <c:ptCount val="5"/>
                <c:pt idx="0">
                  <c:v>0</c:v>
                </c:pt>
                <c:pt idx="1">
                  <c:v>0.05</c:v>
                </c:pt>
                <c:pt idx="2">
                  <c:v>0.15</c:v>
                </c:pt>
                <c:pt idx="3">
                  <c:v>0.35</c:v>
                </c:pt>
                <c:pt idx="4">
                  <c:v>0.95</c:v>
                </c:pt>
              </c:numCache>
            </c:numRef>
          </c:xVal>
          <c:yVal>
            <c:numRef>
              <c:f>expanze!$H$38:$H$42</c:f>
              <c:numCache>
                <c:formatCode>General</c:formatCode>
                <c:ptCount val="5"/>
                <c:pt idx="0">
                  <c:v>0.2</c:v>
                </c:pt>
                <c:pt idx="1">
                  <c:v>0.4</c:v>
                </c:pt>
                <c:pt idx="2">
                  <c:v>0.6</c:v>
                </c:pt>
                <c:pt idx="3">
                  <c:v>0.8</c:v>
                </c:pt>
                <c:pt idx="4">
                  <c:v>1</c:v>
                </c:pt>
              </c:numCache>
            </c:numRef>
          </c:yVal>
          <c:extLst xmlns:c16r2="http://schemas.microsoft.com/office/drawing/2015/06/chart">
            <c:ext xmlns:c16="http://schemas.microsoft.com/office/drawing/2014/chart" uri="{C3380CC4-5D6E-409C-BE32-E72D297353CC}">
              <c16:uniqueId val="{00000000-A0E3-43A7-8C74-7F69F6EF1E8A}"/>
            </c:ext>
          </c:extLst>
        </c:ser>
        <c:axId val="155208704"/>
        <c:axId val="155329664"/>
      </c:scatterChart>
      <c:valAx>
        <c:axId val="15520870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5329664"/>
        <c:crosses val="autoZero"/>
        <c:crossBetween val="midCat"/>
      </c:valAx>
      <c:valAx>
        <c:axId val="15532966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5208704"/>
        <c:crosses val="autoZero"/>
        <c:crossBetween val="midCat"/>
      </c:valAx>
      <c:spPr>
        <a:noFill/>
        <a:ln>
          <a:noFill/>
        </a:ln>
        <a:effectLst/>
      </c:spPr>
    </c:plotArea>
    <c:plotVisOnly val="1"/>
    <c:dispBlanksAs val="gap"/>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cs-CZ"/>
  <c:chart>
    <c:autoTitleDeleted val="1"/>
    <c:plotArea>
      <c:layout/>
      <c:scatterChart>
        <c:scatterStyle val="lineMarker"/>
        <c:ser>
          <c:idx val="0"/>
          <c:order val="0"/>
          <c:tx>
            <c:strRef>
              <c:f>expanze!$B$22</c:f>
              <c:strCache>
                <c:ptCount val="1"/>
                <c:pt idx="0">
                  <c:v>kg/m3</c:v>
                </c:pt>
              </c:strCache>
            </c:strRef>
          </c:tx>
          <c:xVal>
            <c:numRef>
              <c:f>expanze!$A$23:$A$30</c:f>
              <c:numCache>
                <c:formatCode>General</c:formatCode>
                <c:ptCount val="8"/>
                <c:pt idx="0">
                  <c:v>20</c:v>
                </c:pt>
                <c:pt idx="1">
                  <c:v>30</c:v>
                </c:pt>
                <c:pt idx="2">
                  <c:v>40</c:v>
                </c:pt>
                <c:pt idx="3">
                  <c:v>50</c:v>
                </c:pt>
                <c:pt idx="4">
                  <c:v>60</c:v>
                </c:pt>
                <c:pt idx="5">
                  <c:v>70</c:v>
                </c:pt>
                <c:pt idx="6">
                  <c:v>80</c:v>
                </c:pt>
                <c:pt idx="7">
                  <c:v>90</c:v>
                </c:pt>
              </c:numCache>
            </c:numRef>
          </c:xVal>
          <c:yVal>
            <c:numRef>
              <c:f>expanze!$B$23:$B$30</c:f>
              <c:numCache>
                <c:formatCode>General</c:formatCode>
                <c:ptCount val="8"/>
                <c:pt idx="0">
                  <c:v>998.34389999999996</c:v>
                </c:pt>
                <c:pt idx="1">
                  <c:v>995.77229999999997</c:v>
                </c:pt>
                <c:pt idx="2">
                  <c:v>992.30960000000005</c:v>
                </c:pt>
                <c:pt idx="3">
                  <c:v>988.08849999999995</c:v>
                </c:pt>
                <c:pt idx="4">
                  <c:v>983.2</c:v>
                </c:pt>
                <c:pt idx="5">
                  <c:v>977.71289999999999</c:v>
                </c:pt>
                <c:pt idx="6">
                  <c:v>971.6816</c:v>
                </c:pt>
                <c:pt idx="7">
                  <c:v>965.14850000000001</c:v>
                </c:pt>
              </c:numCache>
            </c:numRef>
          </c:yVal>
        </c:ser>
        <c:axId val="155343872"/>
        <c:axId val="155353856"/>
      </c:scatterChart>
      <c:valAx>
        <c:axId val="155343872"/>
        <c:scaling>
          <c:orientation val="minMax"/>
        </c:scaling>
        <c:axPos val="b"/>
        <c:numFmt formatCode="General" sourceLinked="1"/>
        <c:tickLblPos val="nextTo"/>
        <c:crossAx val="155353856"/>
        <c:crosses val="autoZero"/>
        <c:crossBetween val="midCat"/>
      </c:valAx>
      <c:valAx>
        <c:axId val="155353856"/>
        <c:scaling>
          <c:orientation val="minMax"/>
        </c:scaling>
        <c:axPos val="l"/>
        <c:majorGridlines/>
        <c:numFmt formatCode="General" sourceLinked="1"/>
        <c:tickLblPos val="nextTo"/>
        <c:crossAx val="155343872"/>
        <c:crosses val="autoZero"/>
        <c:crossBetween val="midCat"/>
      </c:valAx>
    </c:plotArea>
    <c:legend>
      <c:legendPos val="r"/>
      <c:layout/>
    </c:legend>
    <c:plotVisOnly val="1"/>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marker>
            <c:symbol val="none"/>
          </c:marker>
          <c:val>
            <c:numRef>
              <c:f>'výpočet PT'!$A$8:$O$8</c:f>
              <c:numCache>
                <c:formatCode>General</c:formatCode>
                <c:ptCount val="15"/>
                <c:pt idx="0">
                  <c:v>29.75942634280231</c:v>
                </c:pt>
                <c:pt idx="1">
                  <c:v>29.586372062250735</c:v>
                </c:pt>
                <c:pt idx="2">
                  <c:v>29.278656400483275</c:v>
                </c:pt>
                <c:pt idx="3">
                  <c:v>28.889412414532902</c:v>
                </c:pt>
                <c:pt idx="4">
                  <c:v>28.467969759722635</c:v>
                </c:pt>
                <c:pt idx="5">
                  <c:v>28.052263975049517</c:v>
                </c:pt>
                <c:pt idx="6">
                  <c:v>27.668188419214637</c:v>
                </c:pt>
                <c:pt idx="7">
                  <c:v>27.33168067542687</c:v>
                </c:pt>
                <c:pt idx="8">
                  <c:v>27.05121317764447</c:v>
                </c:pt>
                <c:pt idx="9">
                  <c:v>26.82975996625316</c:v>
                </c:pt>
                <c:pt idx="10">
                  <c:v>26.666022824814146</c:v>
                </c:pt>
                <c:pt idx="11">
                  <c:v>26.555022366768306</c:v>
                </c:pt>
                <c:pt idx="12">
                  <c:v>26.488377163169947</c:v>
                </c:pt>
                <c:pt idx="13">
                  <c:v>26.454896062810228</c:v>
                </c:pt>
                <c:pt idx="14">
                  <c:v>26.442508007171774</c:v>
                </c:pt>
              </c:numCache>
            </c:numRef>
          </c:val>
          <c:extLst xmlns:c16r2="http://schemas.microsoft.com/office/drawing/2015/06/chart">
            <c:ext xmlns:c16="http://schemas.microsoft.com/office/drawing/2014/chart" uri="{C3380CC4-5D6E-409C-BE32-E72D297353CC}">
              <c16:uniqueId val="{00000000-2088-4DB7-82DC-37A30DAD18A5}"/>
            </c:ext>
          </c:extLst>
        </c:ser>
        <c:ser>
          <c:idx val="1"/>
          <c:order val="1"/>
          <c:marker>
            <c:symbol val="none"/>
          </c:marker>
          <c:val>
            <c:numRef>
              <c:f>'výpočet PT'!$A$9:$O$9</c:f>
              <c:numCache>
                <c:formatCode>General</c:formatCode>
                <c:ptCount val="15"/>
                <c:pt idx="0">
                  <c:v>30.908419150372449</c:v>
                </c:pt>
                <c:pt idx="1">
                  <c:v>30.679666416813021</c:v>
                </c:pt>
                <c:pt idx="2">
                  <c:v>30.288045914034072</c:v>
                </c:pt>
                <c:pt idx="3">
                  <c:v>29.810547612922367</c:v>
                </c:pt>
                <c:pt idx="4">
                  <c:v>29.309024897317602</c:v>
                </c:pt>
                <c:pt idx="5">
                  <c:v>28.825854963952438</c:v>
                </c:pt>
                <c:pt idx="6">
                  <c:v>28.387434131153114</c:v>
                </c:pt>
                <c:pt idx="7">
                  <c:v>28.008803131109673</c:v>
                </c:pt>
                <c:pt idx="8">
                  <c:v>27.697314891070754</c:v>
                </c:pt>
                <c:pt idx="9">
                  <c:v>27.455014713140745</c:v>
                </c:pt>
                <c:pt idx="10">
                  <c:v>27.279883455631541</c:v>
                </c:pt>
                <c:pt idx="11">
                  <c:v>27.166164637036051</c:v>
                </c:pt>
                <c:pt idx="12">
                  <c:v>27.104046325524813</c:v>
                </c:pt>
                <c:pt idx="13">
                  <c:v>27.079288391445044</c:v>
                </c:pt>
                <c:pt idx="14">
                  <c:v>27.07436664494108</c:v>
                </c:pt>
              </c:numCache>
            </c:numRef>
          </c:val>
          <c:extLst xmlns:c16r2="http://schemas.microsoft.com/office/drawing/2015/06/chart">
            <c:ext xmlns:c16="http://schemas.microsoft.com/office/drawing/2014/chart" uri="{C3380CC4-5D6E-409C-BE32-E72D297353CC}">
              <c16:uniqueId val="{00000001-2088-4DB7-82DC-37A30DAD18A5}"/>
            </c:ext>
          </c:extLst>
        </c:ser>
        <c:ser>
          <c:idx val="2"/>
          <c:order val="2"/>
          <c:marker>
            <c:symbol val="none"/>
          </c:marker>
          <c:val>
            <c:numRef>
              <c:f>'výpočet PT'!$A$10:$O$10</c:f>
              <c:numCache>
                <c:formatCode>General</c:formatCode>
                <c:ptCount val="15"/>
                <c:pt idx="0">
                  <c:v>32.286160461834427</c:v>
                </c:pt>
                <c:pt idx="1">
                  <c:v>31.935824144292514</c:v>
                </c:pt>
                <c:pt idx="2">
                  <c:v>31.383308549918269</c:v>
                </c:pt>
                <c:pt idx="3">
                  <c:v>30.755702224418645</c:v>
                </c:pt>
                <c:pt idx="4">
                  <c:v>30.131721939626686</c:v>
                </c:pt>
                <c:pt idx="5">
                  <c:v>29.554691286388081</c:v>
                </c:pt>
                <c:pt idx="6">
                  <c:v>29.046884281017093</c:v>
                </c:pt>
                <c:pt idx="7">
                  <c:v>28.618777041084812</c:v>
                </c:pt>
                <c:pt idx="8">
                  <c:v>28.274222813057719</c:v>
                </c:pt>
                <c:pt idx="9">
                  <c:v>28.013094973683373</c:v>
                </c:pt>
                <c:pt idx="10">
                  <c:v>27.832326334456887</c:v>
                </c:pt>
                <c:pt idx="11">
                  <c:v>27.725701398793959</c:v>
                </c:pt>
                <c:pt idx="12">
                  <c:v>27.682350434404491</c:v>
                </c:pt>
                <c:pt idx="13">
                  <c:v>27.683840136154473</c:v>
                </c:pt>
                <c:pt idx="14">
                  <c:v>27.701299306490338</c:v>
                </c:pt>
              </c:numCache>
            </c:numRef>
          </c:val>
          <c:extLst xmlns:c16r2="http://schemas.microsoft.com/office/drawing/2015/06/chart">
            <c:ext xmlns:c16="http://schemas.microsoft.com/office/drawing/2014/chart" uri="{C3380CC4-5D6E-409C-BE32-E72D297353CC}">
              <c16:uniqueId val="{00000002-2088-4DB7-82DC-37A30DAD18A5}"/>
            </c:ext>
          </c:extLst>
        </c:ser>
        <c:ser>
          <c:idx val="3"/>
          <c:order val="3"/>
          <c:marker>
            <c:symbol val="none"/>
          </c:marker>
          <c:val>
            <c:numRef>
              <c:f>'výpočet PT'!$A$11:$O$11</c:f>
              <c:numCache>
                <c:formatCode>General</c:formatCode>
                <c:ptCount val="15"/>
                <c:pt idx="0">
                  <c:v>34.014234072951737</c:v>
                </c:pt>
                <c:pt idx="1">
                  <c:v>33.394156876094002</c:v>
                </c:pt>
                <c:pt idx="2">
                  <c:v>32.55365724653273</c:v>
                </c:pt>
                <c:pt idx="3">
                  <c:v>31.697225688754997</c:v>
                </c:pt>
                <c:pt idx="4">
                  <c:v>30.907463844194925</c:v>
                </c:pt>
                <c:pt idx="5">
                  <c:v>30.214298139965798</c:v>
                </c:pt>
                <c:pt idx="6">
                  <c:v>29.626628644669101</c:v>
                </c:pt>
                <c:pt idx="7">
                  <c:v>29.145191850040554</c:v>
                </c:pt>
                <c:pt idx="8">
                  <c:v>28.767698325606812</c:v>
                </c:pt>
                <c:pt idx="9">
                  <c:v>28.490810213065071</c:v>
                </c:pt>
                <c:pt idx="10">
                  <c:v>28.310620003499363</c:v>
                </c:pt>
                <c:pt idx="11">
                  <c:v>28.221959082787645</c:v>
                </c:pt>
                <c:pt idx="12">
                  <c:v>28.215809206706979</c:v>
                </c:pt>
                <c:pt idx="13">
                  <c:v>28.2724181397232</c:v>
                </c:pt>
                <c:pt idx="14">
                  <c:v>28.345687120443962</c:v>
                </c:pt>
              </c:numCache>
            </c:numRef>
          </c:val>
          <c:extLst xmlns:c16r2="http://schemas.microsoft.com/office/drawing/2015/06/chart">
            <c:ext xmlns:c16="http://schemas.microsoft.com/office/drawing/2014/chart" uri="{C3380CC4-5D6E-409C-BE32-E72D297353CC}">
              <c16:uniqueId val="{00000003-2088-4DB7-82DC-37A30DAD18A5}"/>
            </c:ext>
          </c:extLst>
        </c:ser>
        <c:ser>
          <c:idx val="4"/>
          <c:order val="4"/>
          <c:marker>
            <c:symbol val="none"/>
          </c:marker>
          <c:val>
            <c:numRef>
              <c:f>'výpočet PT'!$A$12:$O$12</c:f>
              <c:numCache>
                <c:formatCode>General</c:formatCode>
                <c:ptCount val="15"/>
                <c:pt idx="0">
                  <c:v>36.362381488607809</c:v>
                </c:pt>
                <c:pt idx="1">
                  <c:v>35.072908204391162</c:v>
                </c:pt>
                <c:pt idx="2">
                  <c:v>33.739933429756611</c:v>
                </c:pt>
                <c:pt idx="3">
                  <c:v>32.572074394319031</c:v>
                </c:pt>
                <c:pt idx="4">
                  <c:v>31.58660404229196</c:v>
                </c:pt>
                <c:pt idx="5">
                  <c:v>30.768402824103859</c:v>
                </c:pt>
                <c:pt idx="6">
                  <c:v>30.100134102489434</c:v>
                </c:pt>
                <c:pt idx="7">
                  <c:v>29.567657100820313</c:v>
                </c:pt>
                <c:pt idx="8">
                  <c:v>29.160562221088838</c:v>
                </c:pt>
                <c:pt idx="9">
                  <c:v>28.87182158894155</c:v>
                </c:pt>
                <c:pt idx="10">
                  <c:v>28.697378817517293</c:v>
                </c:pt>
                <c:pt idx="11">
                  <c:v>28.635700676559814</c:v>
                </c:pt>
                <c:pt idx="12">
                  <c:v>28.686504728267309</c:v>
                </c:pt>
                <c:pt idx="13">
                  <c:v>28.844332259341492</c:v>
                </c:pt>
                <c:pt idx="14">
                  <c:v>29.063340522762836</c:v>
                </c:pt>
              </c:numCache>
            </c:numRef>
          </c:val>
          <c:extLst xmlns:c16r2="http://schemas.microsoft.com/office/drawing/2015/06/chart">
            <c:ext xmlns:c16="http://schemas.microsoft.com/office/drawing/2014/chart" uri="{C3380CC4-5D6E-409C-BE32-E72D297353CC}">
              <c16:uniqueId val="{00000004-2088-4DB7-82DC-37A30DAD18A5}"/>
            </c:ext>
          </c:extLst>
        </c:ser>
        <c:ser>
          <c:idx val="5"/>
          <c:order val="5"/>
          <c:marker>
            <c:symbol val="none"/>
          </c:marker>
          <c:val>
            <c:numRef>
              <c:f>'výpočet PT'!$A$13:$O$13</c:f>
              <c:numCache>
                <c:formatCode>General</c:formatCode>
                <c:ptCount val="15"/>
                <c:pt idx="0">
                  <c:v>40</c:v>
                </c:pt>
                <c:pt idx="1">
                  <c:v>36.795157936677185</c:v>
                </c:pt>
                <c:pt idx="2">
                  <c:v>34.761089835461362</c:v>
                </c:pt>
                <c:pt idx="3">
                  <c:v>33.264529548326628</c:v>
                </c:pt>
                <c:pt idx="4">
                  <c:v>32.098469574734324</c:v>
                </c:pt>
                <c:pt idx="5">
                  <c:v>31.172568998052071</c:v>
                </c:pt>
                <c:pt idx="6">
                  <c:v>30.437841534782986</c:v>
                </c:pt>
                <c:pt idx="7">
                  <c:v>29.864733826282556</c:v>
                </c:pt>
                <c:pt idx="8">
                  <c:v>29.435065563394168</c:v>
                </c:pt>
                <c:pt idx="9">
                  <c:v>29.138529090458054</c:v>
                </c:pt>
                <c:pt idx="10">
                  <c:v>28.971367469224671</c:v>
                </c:pt>
                <c:pt idx="11">
                  <c:v>28.936955209489067</c:v>
                </c:pt>
                <c:pt idx="12">
                  <c:v>29.05017273210666</c:v>
                </c:pt>
                <c:pt idx="13">
                  <c:v>29.355062560155183</c:v>
                </c:pt>
                <c:pt idx="14">
                  <c:v>30</c:v>
                </c:pt>
              </c:numCache>
            </c:numRef>
          </c:val>
          <c:extLst xmlns:c16r2="http://schemas.microsoft.com/office/drawing/2015/06/chart">
            <c:ext xmlns:c16="http://schemas.microsoft.com/office/drawing/2014/chart" uri="{C3380CC4-5D6E-409C-BE32-E72D297353CC}">
              <c16:uniqueId val="{00000005-2088-4DB7-82DC-37A30DAD18A5}"/>
            </c:ext>
          </c:extLst>
        </c:ser>
        <c:ser>
          <c:idx val="6"/>
          <c:order val="6"/>
          <c:marker>
            <c:symbol val="none"/>
          </c:marker>
          <c:val>
            <c:numRef>
              <c:f>'výpočet PT'!$A$14:$O$14</c:f>
              <c:numCache>
                <c:formatCode>General</c:formatCode>
                <c:ptCount val="15"/>
                <c:pt idx="0">
                  <c:v>40</c:v>
                </c:pt>
                <c:pt idx="1">
                  <c:v>37.346631546415338</c:v>
                </c:pt>
                <c:pt idx="2">
                  <c:v>35.244734829951192</c:v>
                </c:pt>
                <c:pt idx="3">
                  <c:v>33.626479724746169</c:v>
                </c:pt>
                <c:pt idx="4">
                  <c:v>32.370170250042435</c:v>
                </c:pt>
                <c:pt idx="5">
                  <c:v>31.385556040249384</c:v>
                </c:pt>
                <c:pt idx="6">
                  <c:v>30.613922861930337</c:v>
                </c:pt>
                <c:pt idx="7">
                  <c:v>30.018364645431916</c:v>
                </c:pt>
                <c:pt idx="8">
                  <c:v>29.576430765359174</c:v>
                </c:pt>
                <c:pt idx="9">
                  <c:v>29.27585572191451</c:v>
                </c:pt>
                <c:pt idx="10">
                  <c:v>29.112601299184114</c:v>
                </c:pt>
                <c:pt idx="11">
                  <c:v>29.090575295991016</c:v>
                </c:pt>
                <c:pt idx="12">
                  <c:v>29.22216483335518</c:v>
                </c:pt>
                <c:pt idx="13">
                  <c:v>29.525743088714048</c:v>
                </c:pt>
                <c:pt idx="14">
                  <c:v>30</c:v>
                </c:pt>
              </c:numCache>
            </c:numRef>
          </c:val>
          <c:extLst xmlns:c16r2="http://schemas.microsoft.com/office/drawing/2015/06/chart">
            <c:ext xmlns:c16="http://schemas.microsoft.com/office/drawing/2014/chart" uri="{C3380CC4-5D6E-409C-BE32-E72D297353CC}">
              <c16:uniqueId val="{00000006-2088-4DB7-82DC-37A30DAD18A5}"/>
            </c:ext>
          </c:extLst>
        </c:ser>
        <c:marker val="1"/>
        <c:axId val="155702400"/>
        <c:axId val="155703936"/>
      </c:lineChart>
      <c:catAx>
        <c:axId val="155702400"/>
        <c:scaling>
          <c:orientation val="minMax"/>
        </c:scaling>
        <c:axPos val="b"/>
        <c:tickLblPos val="nextTo"/>
        <c:crossAx val="155703936"/>
        <c:crosses val="autoZero"/>
        <c:auto val="1"/>
        <c:lblAlgn val="ctr"/>
        <c:lblOffset val="100"/>
      </c:catAx>
      <c:valAx>
        <c:axId val="155703936"/>
        <c:scaling>
          <c:orientation val="minMax"/>
          <c:min val="20"/>
        </c:scaling>
        <c:axPos val="l"/>
        <c:majorGridlines/>
        <c:numFmt formatCode="General" sourceLinked="1"/>
        <c:tickLblPos val="nextTo"/>
        <c:crossAx val="155702400"/>
        <c:crosses val="autoZero"/>
        <c:crossBetween val="between"/>
        <c:majorUnit val="1"/>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marker>
            <c:symbol val="none"/>
          </c:marker>
          <c:val>
            <c:numRef>
              <c:f>'výpočet PT'!$U$8:$AN$8</c:f>
              <c:numCache>
                <c:formatCode>General</c:formatCode>
                <c:ptCount val="20"/>
                <c:pt idx="0">
                  <c:v>29.499039675404703</c:v>
                </c:pt>
                <c:pt idx="1">
                  <c:v>29.309517194109297</c:v>
                </c:pt>
                <c:pt idx="2">
                  <c:v>28.970626603194155</c:v>
                </c:pt>
                <c:pt idx="3">
                  <c:v>28.537944232689004</c:v>
                </c:pt>
                <c:pt idx="4">
                  <c:v>28.063092267174213</c:v>
                </c:pt>
                <c:pt idx="5">
                  <c:v>27.585847026091788</c:v>
                </c:pt>
                <c:pt idx="6">
                  <c:v>27.133551805932274</c:v>
                </c:pt>
                <c:pt idx="7">
                  <c:v>26.723448133370926</c:v>
                </c:pt>
                <c:pt idx="8">
                  <c:v>26.365507182367114</c:v>
                </c:pt>
                <c:pt idx="9">
                  <c:v>26.064809456020715</c:v>
                </c:pt>
                <c:pt idx="10">
                  <c:v>25.823246446289684</c:v>
                </c:pt>
                <c:pt idx="11">
                  <c:v>25.640588946598054</c:v>
                </c:pt>
                <c:pt idx="12">
                  <c:v>25.515025950725345</c:v>
                </c:pt>
                <c:pt idx="13">
                  <c:v>25.443258606583139</c:v>
                </c:pt>
                <c:pt idx="14">
                  <c:v>25.42020040349384</c:v>
                </c:pt>
                <c:pt idx="15">
                  <c:v>25.438328800432956</c:v>
                </c:pt>
                <c:pt idx="16">
                  <c:v>25.486806164384511</c:v>
                </c:pt>
                <c:pt idx="17">
                  <c:v>25.550724266533159</c:v>
                </c:pt>
                <c:pt idx="18">
                  <c:v>25.611326867405921</c:v>
                </c:pt>
                <c:pt idx="19">
                  <c:v>25.648748876234933</c:v>
                </c:pt>
              </c:numCache>
            </c:numRef>
          </c:val>
          <c:extLst xmlns:c16r2="http://schemas.microsoft.com/office/drawing/2015/06/chart">
            <c:ext xmlns:c16="http://schemas.microsoft.com/office/drawing/2014/chart" uri="{C3380CC4-5D6E-409C-BE32-E72D297353CC}">
              <c16:uniqueId val="{00000000-A132-4F69-86BE-2C9E22C37A75}"/>
            </c:ext>
          </c:extLst>
        </c:ser>
        <c:ser>
          <c:idx val="1"/>
          <c:order val="1"/>
          <c:marker>
            <c:symbol val="none"/>
          </c:marker>
          <c:val>
            <c:numRef>
              <c:f>'výpočet PT'!$U$9:$AN$9</c:f>
              <c:numCache>
                <c:formatCode>General</c:formatCode>
                <c:ptCount val="20"/>
                <c:pt idx="0">
                  <c:v>30.63844014098887</c:v>
                </c:pt>
                <c:pt idx="1">
                  <c:v>30.389810028954031</c:v>
                </c:pt>
                <c:pt idx="2">
                  <c:v>29.961452235958959</c:v>
                </c:pt>
                <c:pt idx="3">
                  <c:v>29.433877133693539</c:v>
                </c:pt>
                <c:pt idx="4">
                  <c:v>28.871761150559095</c:v>
                </c:pt>
                <c:pt idx="5">
                  <c:v>28.319445656220172</c:v>
                </c:pt>
                <c:pt idx="6">
                  <c:v>27.804677226844731</c:v>
                </c:pt>
                <c:pt idx="7">
                  <c:v>27.343590273956433</c:v>
                </c:pt>
                <c:pt idx="8">
                  <c:v>26.944773510322229</c:v>
                </c:pt>
                <c:pt idx="9">
                  <c:v>26.612113894263992</c:v>
                </c:pt>
                <c:pt idx="10">
                  <c:v>26.346623785482592</c:v>
                </c:pt>
                <c:pt idx="11">
                  <c:v>26.147512158108746</c:v>
                </c:pt>
                <c:pt idx="12">
                  <c:v>26.012692920850654</c:v>
                </c:pt>
                <c:pt idx="13">
                  <c:v>25.93883708491154</c:v>
                </c:pt>
                <c:pt idx="14">
                  <c:v>25.920997757325658</c:v>
                </c:pt>
                <c:pt idx="15">
                  <c:v>25.951779055462453</c:v>
                </c:pt>
                <c:pt idx="16">
                  <c:v>26.020014883594918</c:v>
                </c:pt>
                <c:pt idx="17">
                  <c:v>26.109083344176177</c:v>
                </c:pt>
                <c:pt idx="18">
                  <c:v>26.195613108350738</c:v>
                </c:pt>
                <c:pt idx="19">
                  <c:v>26.251019745689245</c:v>
                </c:pt>
              </c:numCache>
            </c:numRef>
          </c:val>
          <c:extLst xmlns:c16r2="http://schemas.microsoft.com/office/drawing/2015/06/chart">
            <c:ext xmlns:c16="http://schemas.microsoft.com/office/drawing/2014/chart" uri="{C3380CC4-5D6E-409C-BE32-E72D297353CC}">
              <c16:uniqueId val="{00000001-A132-4F69-86BE-2C9E22C37A75}"/>
            </c:ext>
          </c:extLst>
        </c:ser>
        <c:ser>
          <c:idx val="2"/>
          <c:order val="2"/>
          <c:marker>
            <c:symbol val="none"/>
          </c:marker>
          <c:val>
            <c:numRef>
              <c:f>'výpočet PT'!$U$10:$AN$10</c:f>
              <c:numCache>
                <c:formatCode>General</c:formatCode>
                <c:ptCount val="20"/>
                <c:pt idx="0">
                  <c:v>32.026443910497932</c:v>
                </c:pt>
                <c:pt idx="1">
                  <c:v>31.649802445424243</c:v>
                </c:pt>
                <c:pt idx="2">
                  <c:v>31.051464832844708</c:v>
                </c:pt>
                <c:pt idx="3">
                  <c:v>30.364317791528276</c:v>
                </c:pt>
                <c:pt idx="4">
                  <c:v>29.670593482441824</c:v>
                </c:pt>
                <c:pt idx="5">
                  <c:v>29.015458351187434</c:v>
                </c:pt>
                <c:pt idx="6">
                  <c:v>28.4220798388532</c:v>
                </c:pt>
                <c:pt idx="7">
                  <c:v>27.901418927869443</c:v>
                </c:pt>
                <c:pt idx="8">
                  <c:v>27.457838028677976</c:v>
                </c:pt>
                <c:pt idx="9">
                  <c:v>27.092203463017466</c:v>
                </c:pt>
                <c:pt idx="10">
                  <c:v>26.803577276051016</c:v>
                </c:pt>
                <c:pt idx="11">
                  <c:v>26.590098302752214</c:v>
                </c:pt>
                <c:pt idx="12">
                  <c:v>26.449353168611445</c:v>
                </c:pt>
                <c:pt idx="13">
                  <c:v>26.378357691231482</c:v>
                </c:pt>
                <c:pt idx="14">
                  <c:v>26.373135578010132</c:v>
                </c:pt>
                <c:pt idx="15">
                  <c:v>26.427738676358452</c:v>
                </c:pt>
                <c:pt idx="16">
                  <c:v>26.53235780241835</c:v>
                </c:pt>
                <c:pt idx="17">
                  <c:v>26.66995072816227</c:v>
                </c:pt>
                <c:pt idx="18">
                  <c:v>26.810994331813308</c:v>
                </c:pt>
                <c:pt idx="19">
                  <c:v>26.908670399619957</c:v>
                </c:pt>
              </c:numCache>
            </c:numRef>
          </c:val>
          <c:extLst xmlns:c16r2="http://schemas.microsoft.com/office/drawing/2015/06/chart">
            <c:ext xmlns:c16="http://schemas.microsoft.com/office/drawing/2014/chart" uri="{C3380CC4-5D6E-409C-BE32-E72D297353CC}">
              <c16:uniqueId val="{00000002-A132-4F69-86BE-2C9E22C37A75}"/>
            </c:ext>
          </c:extLst>
        </c:ser>
        <c:ser>
          <c:idx val="3"/>
          <c:order val="3"/>
          <c:marker>
            <c:symbol val="none"/>
          </c:marker>
          <c:val>
            <c:numRef>
              <c:f>'výpočet PT'!$U$11:$AN$11</c:f>
              <c:numCache>
                <c:formatCode>General</c:formatCode>
                <c:ptCount val="20"/>
                <c:pt idx="0">
                  <c:v>33.791063590086694</c:v>
                </c:pt>
                <c:pt idx="1">
                  <c:v>33.131463584198009</c:v>
                </c:pt>
                <c:pt idx="2">
                  <c:v>32.230256399083252</c:v>
                </c:pt>
                <c:pt idx="3">
                  <c:v>31.301301718496976</c:v>
                </c:pt>
                <c:pt idx="4">
                  <c:v>30.430799057617609</c:v>
                </c:pt>
                <c:pt idx="5">
                  <c:v>29.649673534554168</c:v>
                </c:pt>
                <c:pt idx="6">
                  <c:v>28.966721113482329</c:v>
                </c:pt>
                <c:pt idx="7">
                  <c:v>28.38212159782935</c:v>
                </c:pt>
                <c:pt idx="8">
                  <c:v>27.892908702868915</c:v>
                </c:pt>
                <c:pt idx="9">
                  <c:v>27.495236357232727</c:v>
                </c:pt>
                <c:pt idx="10">
                  <c:v>27.185335251865048</c:v>
                </c:pt>
                <c:pt idx="11">
                  <c:v>26.959903082194057</c:v>
                </c:pt>
                <c:pt idx="12">
                  <c:v>26.816217762800996</c:v>
                </c:pt>
                <c:pt idx="13">
                  <c:v>26.752061164931064</c:v>
                </c:pt>
                <c:pt idx="14">
                  <c:v>26.765407256083183</c:v>
                </c:pt>
                <c:pt idx="15">
                  <c:v>26.853644648449517</c:v>
                </c:pt>
                <c:pt idx="16">
                  <c:v>27.011692878900618</c:v>
                </c:pt>
                <c:pt idx="17">
                  <c:v>27.227336930778968</c:v>
                </c:pt>
                <c:pt idx="18">
                  <c:v>27.469715622863518</c:v>
                </c:pt>
                <c:pt idx="19">
                  <c:v>27.663971524378397</c:v>
                </c:pt>
              </c:numCache>
            </c:numRef>
          </c:val>
          <c:extLst xmlns:c16r2="http://schemas.microsoft.com/office/drawing/2015/06/chart">
            <c:ext xmlns:c16="http://schemas.microsoft.com/office/drawing/2014/chart" uri="{C3380CC4-5D6E-409C-BE32-E72D297353CC}">
              <c16:uniqueId val="{00000003-A132-4F69-86BE-2C9E22C37A75}"/>
            </c:ext>
          </c:extLst>
        </c:ser>
        <c:ser>
          <c:idx val="4"/>
          <c:order val="4"/>
          <c:marker>
            <c:symbol val="none"/>
          </c:marker>
          <c:val>
            <c:numRef>
              <c:f>'výpočet PT'!$U$12:$AN$12</c:f>
              <c:numCache>
                <c:formatCode>General</c:formatCode>
                <c:ptCount val="20"/>
                <c:pt idx="0">
                  <c:v>36.21526159388484</c:v>
                </c:pt>
                <c:pt idx="1">
                  <c:v>34.854707120028849</c:v>
                </c:pt>
                <c:pt idx="2">
                  <c:v>33.436766286318047</c:v>
                </c:pt>
                <c:pt idx="3">
                  <c:v>32.179799791602008</c:v>
                </c:pt>
                <c:pt idx="4">
                  <c:v>31.101589236855055</c:v>
                </c:pt>
                <c:pt idx="5">
                  <c:v>30.185673431148484</c:v>
                </c:pt>
                <c:pt idx="6">
                  <c:v>29.412964020384972</c:v>
                </c:pt>
                <c:pt idx="7">
                  <c:v>28.767389652995568</c:v>
                </c:pt>
                <c:pt idx="8">
                  <c:v>28.236389111133462</c:v>
                </c:pt>
                <c:pt idx="9">
                  <c:v>27.810447420970782</c:v>
                </c:pt>
                <c:pt idx="10">
                  <c:v>27.482573696389345</c:v>
                </c:pt>
                <c:pt idx="11">
                  <c:v>27.247911278956671</c:v>
                </c:pt>
                <c:pt idx="12">
                  <c:v>27.103505616188166</c:v>
                </c:pt>
                <c:pt idx="13">
                  <c:v>27.048216454385397</c:v>
                </c:pt>
                <c:pt idx="14">
                  <c:v>27.082745409629844</c:v>
                </c:pt>
                <c:pt idx="15">
                  <c:v>27.209701482614104</c:v>
                </c:pt>
                <c:pt idx="16">
                  <c:v>27.433398257394195</c:v>
                </c:pt>
                <c:pt idx="17">
                  <c:v>27.757959277879344</c:v>
                </c:pt>
                <c:pt idx="18">
                  <c:v>28.176534884550406</c:v>
                </c:pt>
                <c:pt idx="19">
                  <c:v>28.613506834146705</c:v>
                </c:pt>
              </c:numCache>
            </c:numRef>
          </c:val>
          <c:extLst xmlns:c16r2="http://schemas.microsoft.com/office/drawing/2015/06/chart">
            <c:ext xmlns:c16="http://schemas.microsoft.com/office/drawing/2014/chart" uri="{C3380CC4-5D6E-409C-BE32-E72D297353CC}">
              <c16:uniqueId val="{00000004-A132-4F69-86BE-2C9E22C37A75}"/>
            </c:ext>
          </c:extLst>
        </c:ser>
        <c:ser>
          <c:idx val="5"/>
          <c:order val="5"/>
          <c:marker>
            <c:symbol val="none"/>
          </c:marker>
          <c:val>
            <c:numRef>
              <c:f>'výpočet PT'!$U$13:$AN$13</c:f>
              <c:numCache>
                <c:formatCode>General</c:formatCode>
                <c:ptCount val="20"/>
                <c:pt idx="0">
                  <c:v>40</c:v>
                </c:pt>
                <c:pt idx="1">
                  <c:v>36.635316895778246</c:v>
                </c:pt>
                <c:pt idx="2">
                  <c:v>34.482275068758668</c:v>
                </c:pt>
                <c:pt idx="3">
                  <c:v>32.879509012640696</c:v>
                </c:pt>
                <c:pt idx="4">
                  <c:v>31.610046355703766</c:v>
                </c:pt>
                <c:pt idx="5">
                  <c:v>30.578424045595405</c:v>
                </c:pt>
                <c:pt idx="6">
                  <c:v>29.732025284865166</c:v>
                </c:pt>
                <c:pt idx="7">
                  <c:v>29.038034467171101</c:v>
                </c:pt>
                <c:pt idx="8">
                  <c:v>28.474759356960128</c:v>
                </c:pt>
                <c:pt idx="9">
                  <c:v>28.027538252991928</c:v>
                </c:pt>
                <c:pt idx="10">
                  <c:v>27.686548562175332</c:v>
                </c:pt>
                <c:pt idx="11">
                  <c:v>27.445611394342446</c:v>
                </c:pt>
                <c:pt idx="12">
                  <c:v>27.301627527790657</c:v>
                </c:pt>
                <c:pt idx="13">
                  <c:v>27.254506994828944</c:v>
                </c:pt>
                <c:pt idx="14">
                  <c:v>27.30761352015239</c:v>
                </c:pt>
                <c:pt idx="15">
                  <c:v>27.468979263213278</c:v>
                </c:pt>
                <c:pt idx="16">
                  <c:v>27.754206438397642</c:v>
                </c:pt>
                <c:pt idx="17">
                  <c:v>28.19454023713342</c:v>
                </c:pt>
                <c:pt idx="18">
                  <c:v>28.864937654023343</c:v>
                </c:pt>
                <c:pt idx="19">
                  <c:v>30</c:v>
                </c:pt>
              </c:numCache>
            </c:numRef>
          </c:val>
          <c:extLst xmlns:c16r2="http://schemas.microsoft.com/office/drawing/2015/06/chart">
            <c:ext xmlns:c16="http://schemas.microsoft.com/office/drawing/2014/chart" uri="{C3380CC4-5D6E-409C-BE32-E72D297353CC}">
              <c16:uniqueId val="{00000005-A132-4F69-86BE-2C9E22C37A75}"/>
            </c:ext>
          </c:extLst>
        </c:ser>
        <c:ser>
          <c:idx val="6"/>
          <c:order val="6"/>
          <c:marker>
            <c:symbol val="none"/>
          </c:marker>
          <c:val>
            <c:numRef>
              <c:f>'výpočet PT'!$U$14:$AN$14</c:f>
              <c:numCache>
                <c:formatCode>General</c:formatCode>
                <c:ptCount val="20"/>
                <c:pt idx="0">
                  <c:v>40</c:v>
                </c:pt>
                <c:pt idx="1">
                  <c:v>37.204271124661737</c:v>
                </c:pt>
                <c:pt idx="2">
                  <c:v>34.977484009335967</c:v>
                </c:pt>
                <c:pt idx="3">
                  <c:v>33.245883063679116</c:v>
                </c:pt>
                <c:pt idx="4">
                  <c:v>31.880625064679823</c:v>
                </c:pt>
                <c:pt idx="5">
                  <c:v>30.785907916487687</c:v>
                </c:pt>
                <c:pt idx="6">
                  <c:v>29.898631343770084</c:v>
                </c:pt>
                <c:pt idx="7">
                  <c:v>29.177913267536475</c:v>
                </c:pt>
                <c:pt idx="8">
                  <c:v>28.597023259363379</c:v>
                </c:pt>
                <c:pt idx="9">
                  <c:v>28.138344315767394</c:v>
                </c:pt>
                <c:pt idx="10">
                  <c:v>27.790417543404242</c:v>
                </c:pt>
                <c:pt idx="11">
                  <c:v>27.546305855242387</c:v>
                </c:pt>
                <c:pt idx="12">
                  <c:v>27.402835774127812</c:v>
                </c:pt>
                <c:pt idx="13">
                  <c:v>27.360523181743268</c:v>
                </c:pt>
                <c:pt idx="14">
                  <c:v>27.424179181322351</c:v>
                </c:pt>
                <c:pt idx="15">
                  <c:v>27.604357509645865</c:v>
                </c:pt>
                <c:pt idx="16">
                  <c:v>27.91987618810672</c:v>
                </c:pt>
                <c:pt idx="17">
                  <c:v>28.401033476540675</c:v>
                </c:pt>
                <c:pt idx="18">
                  <c:v>29.088661205256084</c:v>
                </c:pt>
                <c:pt idx="19">
                  <c:v>30</c:v>
                </c:pt>
              </c:numCache>
            </c:numRef>
          </c:val>
          <c:extLst xmlns:c16r2="http://schemas.microsoft.com/office/drawing/2015/06/chart">
            <c:ext xmlns:c16="http://schemas.microsoft.com/office/drawing/2014/chart" uri="{C3380CC4-5D6E-409C-BE32-E72D297353CC}">
              <c16:uniqueId val="{00000006-A132-4F69-86BE-2C9E22C37A75}"/>
            </c:ext>
          </c:extLst>
        </c:ser>
        <c:marker val="1"/>
        <c:axId val="155883776"/>
        <c:axId val="155779072"/>
      </c:lineChart>
      <c:catAx>
        <c:axId val="155883776"/>
        <c:scaling>
          <c:orientation val="minMax"/>
        </c:scaling>
        <c:axPos val="b"/>
        <c:tickLblPos val="nextTo"/>
        <c:crossAx val="155779072"/>
        <c:crosses val="autoZero"/>
        <c:auto val="1"/>
        <c:lblAlgn val="ctr"/>
        <c:lblOffset val="100"/>
      </c:catAx>
      <c:valAx>
        <c:axId val="155779072"/>
        <c:scaling>
          <c:orientation val="minMax"/>
          <c:min val="20"/>
        </c:scaling>
        <c:axPos val="l"/>
        <c:majorGridlines/>
        <c:numFmt formatCode="General" sourceLinked="1"/>
        <c:tickLblPos val="nextTo"/>
        <c:crossAx val="155883776"/>
        <c:crosses val="autoZero"/>
        <c:crossBetween val="between"/>
        <c:majorUnit val="1"/>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marker>
            <c:symbol val="none"/>
          </c:marker>
          <c:val>
            <c:numRef>
              <c:f>'výpočet PT'!$A$40:$AN$40</c:f>
              <c:numCache>
                <c:formatCode>General</c:formatCode>
                <c:ptCount val="40"/>
                <c:pt idx="0">
                  <c:v>1</c:v>
                </c:pt>
                <c:pt idx="1">
                  <c:v>0.83891733347055431</c:v>
                </c:pt>
                <c:pt idx="2">
                  <c:v>0.70891016088490666</c:v>
                </c:pt>
                <c:pt idx="3">
                  <c:v>0.60541280511671058</c:v>
                </c:pt>
                <c:pt idx="4">
                  <c:v>0.52092464003002514</c:v>
                </c:pt>
                <c:pt idx="5">
                  <c:v>0.449841878619475</c:v>
                </c:pt>
                <c:pt idx="6">
                  <c:v>0.3883804986167167</c:v>
                </c:pt>
                <c:pt idx="7">
                  <c:v>0.33394548818106384</c:v>
                </c:pt>
                <c:pt idx="8">
                  <c:v>0.28463128895960021</c:v>
                </c:pt>
                <c:pt idx="9">
                  <c:v>0.23887184678598819</c:v>
                </c:pt>
                <c:pt idx="10">
                  <c:v>0.19516774494419323</c:v>
                </c:pt>
                <c:pt idx="11">
                  <c:v>0.15182236224119561</c:v>
                </c:pt>
                <c:pt idx="12">
                  <c:v>0.10665316122530567</c:v>
                </c:pt>
                <c:pt idx="13">
                  <c:v>5.6828487700425173E-2</c:v>
                </c:pt>
                <c:pt idx="14">
                  <c:v>0</c:v>
                </c:pt>
                <c:pt idx="20">
                  <c:v>1</c:v>
                </c:pt>
                <c:pt idx="21">
                  <c:v>0.84399603480224639</c:v>
                </c:pt>
                <c:pt idx="22">
                  <c:v>0.71846448473770841</c:v>
                </c:pt>
                <c:pt idx="23">
                  <c:v>0.61906299797505027</c:v>
                </c:pt>
                <c:pt idx="24">
                  <c:v>0.53856308732379243</c:v>
                </c:pt>
                <c:pt idx="25">
                  <c:v>0.47158788838843396</c:v>
                </c:pt>
                <c:pt idx="26">
                  <c:v>0.41455798352656342</c:v>
                </c:pt>
                <c:pt idx="27">
                  <c:v>0.36509969203150461</c:v>
                </c:pt>
                <c:pt idx="28">
                  <c:v>0.32159135544947898</c:v>
                </c:pt>
                <c:pt idx="29">
                  <c:v>0.28287570293768488</c:v>
                </c:pt>
                <c:pt idx="30">
                  <c:v>0.24808302570136961</c:v>
                </c:pt>
                <c:pt idx="31">
                  <c:v>0.21651961503737985</c:v>
                </c:pt>
                <c:pt idx="32">
                  <c:v>0.18759194269063834</c:v>
                </c:pt>
                <c:pt idx="33">
                  <c:v>0.16074716732388156</c:v>
                </c:pt>
                <c:pt idx="34">
                  <c:v>0.13541501487190055</c:v>
                </c:pt>
                <c:pt idx="35">
                  <c:v>0.11093633182039704</c:v>
                </c:pt>
                <c:pt idx="36">
                  <c:v>8.6462310417810787E-2</c:v>
                </c:pt>
                <c:pt idx="37">
                  <c:v>6.0819431458179481E-2</c:v>
                </c:pt>
                <c:pt idx="38">
                  <c:v>3.2435042861681071E-2</c:v>
                </c:pt>
                <c:pt idx="39">
                  <c:v>0</c:v>
                </c:pt>
              </c:numCache>
            </c:numRef>
          </c:val>
          <c:extLst xmlns:c16r2="http://schemas.microsoft.com/office/drawing/2015/06/chart">
            <c:ext xmlns:c16="http://schemas.microsoft.com/office/drawing/2014/chart" uri="{C3380CC4-5D6E-409C-BE32-E72D297353CC}">
              <c16:uniqueId val="{00000000-791E-4857-AC1C-7B367BE83AAB}"/>
            </c:ext>
          </c:extLst>
        </c:ser>
        <c:ser>
          <c:idx val="1"/>
          <c:order val="1"/>
          <c:marker>
            <c:symbol val="none"/>
          </c:marker>
          <c:val>
            <c:numRef>
              <c:f>'výpočet PT'!$A$41:$AN$41</c:f>
              <c:numCache>
                <c:formatCode>General</c:formatCode>
                <c:ptCount val="40"/>
                <c:pt idx="0">
                  <c:v>0</c:v>
                </c:pt>
                <c:pt idx="1">
                  <c:v>5.6828487700425166E-2</c:v>
                </c:pt>
                <c:pt idx="2">
                  <c:v>0.10665316122530569</c:v>
                </c:pt>
                <c:pt idx="3">
                  <c:v>0.15182236224119561</c:v>
                </c:pt>
                <c:pt idx="4">
                  <c:v>0.19516774494419323</c:v>
                </c:pt>
                <c:pt idx="5">
                  <c:v>0.23887184678598819</c:v>
                </c:pt>
                <c:pt idx="6">
                  <c:v>0.28463128895960021</c:v>
                </c:pt>
                <c:pt idx="7">
                  <c:v>0.33394548818106384</c:v>
                </c:pt>
                <c:pt idx="8">
                  <c:v>0.3883804986167167</c:v>
                </c:pt>
                <c:pt idx="9">
                  <c:v>0.44984187861947494</c:v>
                </c:pt>
                <c:pt idx="10">
                  <c:v>0.52092464003002503</c:v>
                </c:pt>
                <c:pt idx="11">
                  <c:v>0.60541280511671047</c:v>
                </c:pt>
                <c:pt idx="12">
                  <c:v>0.70891016088490644</c:v>
                </c:pt>
                <c:pt idx="13">
                  <c:v>0.83891733347055419</c:v>
                </c:pt>
                <c:pt idx="14">
                  <c:v>1</c:v>
                </c:pt>
                <c:pt idx="20">
                  <c:v>0</c:v>
                </c:pt>
                <c:pt idx="21">
                  <c:v>3.2435042861681085E-2</c:v>
                </c:pt>
                <c:pt idx="22">
                  <c:v>6.0819431458179488E-2</c:v>
                </c:pt>
                <c:pt idx="23">
                  <c:v>8.64623104178108E-2</c:v>
                </c:pt>
                <c:pt idx="24">
                  <c:v>0.11093633182039708</c:v>
                </c:pt>
                <c:pt idx="25">
                  <c:v>0.13541501487190058</c:v>
                </c:pt>
                <c:pt idx="26">
                  <c:v>0.16074716732388156</c:v>
                </c:pt>
                <c:pt idx="27">
                  <c:v>0.18759194269063834</c:v>
                </c:pt>
                <c:pt idx="28">
                  <c:v>0.21651961503737985</c:v>
                </c:pt>
                <c:pt idx="29">
                  <c:v>0.24808302570136959</c:v>
                </c:pt>
                <c:pt idx="30">
                  <c:v>0.28287570293768488</c:v>
                </c:pt>
                <c:pt idx="31">
                  <c:v>0.32159135544947892</c:v>
                </c:pt>
                <c:pt idx="32">
                  <c:v>0.3650996920315045</c:v>
                </c:pt>
                <c:pt idx="33">
                  <c:v>0.41455798352656342</c:v>
                </c:pt>
                <c:pt idx="34">
                  <c:v>0.47158788838843402</c:v>
                </c:pt>
                <c:pt idx="35">
                  <c:v>0.53856308732379243</c:v>
                </c:pt>
                <c:pt idx="36">
                  <c:v>0.61906299797505027</c:v>
                </c:pt>
                <c:pt idx="37">
                  <c:v>0.71846448473770841</c:v>
                </c:pt>
                <c:pt idx="38">
                  <c:v>0.84399603480224639</c:v>
                </c:pt>
                <c:pt idx="39">
                  <c:v>1</c:v>
                </c:pt>
              </c:numCache>
            </c:numRef>
          </c:val>
          <c:extLst xmlns:c16r2="http://schemas.microsoft.com/office/drawing/2015/06/chart">
            <c:ext xmlns:c16="http://schemas.microsoft.com/office/drawing/2014/chart" uri="{C3380CC4-5D6E-409C-BE32-E72D297353CC}">
              <c16:uniqueId val="{00000001-791E-4857-AC1C-7B367BE83AAB}"/>
            </c:ext>
          </c:extLst>
        </c:ser>
        <c:ser>
          <c:idx val="2"/>
          <c:order val="2"/>
          <c:marker>
            <c:symbol val="none"/>
          </c:marker>
          <c:val>
            <c:numRef>
              <c:f>'výpočet PT'!$A$42:$AN$42</c:f>
              <c:numCache>
                <c:formatCode>General</c:formatCode>
                <c:ptCount val="40"/>
                <c:pt idx="0">
                  <c:v>1</c:v>
                </c:pt>
                <c:pt idx="1">
                  <c:v>0.89574582117097945</c:v>
                </c:pt>
                <c:pt idx="2">
                  <c:v>0.81556332211021232</c:v>
                </c:pt>
                <c:pt idx="3">
                  <c:v>0.75723516735790619</c:v>
                </c:pt>
                <c:pt idx="4">
                  <c:v>0.71609238497421834</c:v>
                </c:pt>
                <c:pt idx="5">
                  <c:v>0.68871372540546316</c:v>
                </c:pt>
                <c:pt idx="6">
                  <c:v>0.67301178757631686</c:v>
                </c:pt>
                <c:pt idx="7">
                  <c:v>0.66789097636212769</c:v>
                </c:pt>
                <c:pt idx="8">
                  <c:v>0.67301178757631686</c:v>
                </c:pt>
                <c:pt idx="9">
                  <c:v>0.68871372540546316</c:v>
                </c:pt>
                <c:pt idx="10">
                  <c:v>0.71609238497421823</c:v>
                </c:pt>
                <c:pt idx="11">
                  <c:v>0.75723516735790608</c:v>
                </c:pt>
                <c:pt idx="12">
                  <c:v>0.8155633221102121</c:v>
                </c:pt>
                <c:pt idx="13">
                  <c:v>0.89574582117097934</c:v>
                </c:pt>
                <c:pt idx="14">
                  <c:v>1</c:v>
                </c:pt>
                <c:pt idx="20">
                  <c:v>1</c:v>
                </c:pt>
                <c:pt idx="21">
                  <c:v>0.87643107766392747</c:v>
                </c:pt>
                <c:pt idx="22">
                  <c:v>0.77928391619588788</c:v>
                </c:pt>
                <c:pt idx="23">
                  <c:v>0.70552530839286109</c:v>
                </c:pt>
                <c:pt idx="24">
                  <c:v>0.64949941914418952</c:v>
                </c:pt>
                <c:pt idx="25">
                  <c:v>0.60700290326033457</c:v>
                </c:pt>
                <c:pt idx="26">
                  <c:v>0.57530515085044498</c:v>
                </c:pt>
                <c:pt idx="27">
                  <c:v>0.55269163472214289</c:v>
                </c:pt>
                <c:pt idx="28">
                  <c:v>0.53811097048685885</c:v>
                </c:pt>
                <c:pt idx="29">
                  <c:v>0.53095872863905447</c:v>
                </c:pt>
                <c:pt idx="30">
                  <c:v>0.53095872863905447</c:v>
                </c:pt>
                <c:pt idx="31">
                  <c:v>0.53811097048685874</c:v>
                </c:pt>
                <c:pt idx="32">
                  <c:v>0.55269163472214289</c:v>
                </c:pt>
                <c:pt idx="33">
                  <c:v>0.57530515085044498</c:v>
                </c:pt>
                <c:pt idx="34">
                  <c:v>0.60700290326033457</c:v>
                </c:pt>
                <c:pt idx="35">
                  <c:v>0.64949941914418952</c:v>
                </c:pt>
                <c:pt idx="36">
                  <c:v>0.70552530839286109</c:v>
                </c:pt>
                <c:pt idx="37">
                  <c:v>0.77928391619588788</c:v>
                </c:pt>
                <c:pt idx="38">
                  <c:v>0.87643107766392747</c:v>
                </c:pt>
                <c:pt idx="39">
                  <c:v>1</c:v>
                </c:pt>
              </c:numCache>
            </c:numRef>
          </c:val>
          <c:extLst xmlns:c16r2="http://schemas.microsoft.com/office/drawing/2015/06/chart">
            <c:ext xmlns:c16="http://schemas.microsoft.com/office/drawing/2014/chart" uri="{C3380CC4-5D6E-409C-BE32-E72D297353CC}">
              <c16:uniqueId val="{00000002-791E-4857-AC1C-7B367BE83AAB}"/>
            </c:ext>
          </c:extLst>
        </c:ser>
        <c:marker val="1"/>
        <c:axId val="155816320"/>
        <c:axId val="155817856"/>
      </c:lineChart>
      <c:catAx>
        <c:axId val="155816320"/>
        <c:scaling>
          <c:orientation val="minMax"/>
        </c:scaling>
        <c:axPos val="b"/>
        <c:tickLblPos val="nextTo"/>
        <c:crossAx val="155817856"/>
        <c:crosses val="autoZero"/>
        <c:auto val="1"/>
        <c:lblAlgn val="ctr"/>
        <c:lblOffset val="100"/>
      </c:catAx>
      <c:valAx>
        <c:axId val="155817856"/>
        <c:scaling>
          <c:orientation val="minMax"/>
        </c:scaling>
        <c:axPos val="l"/>
        <c:majorGridlines/>
        <c:numFmt formatCode="General" sourceLinked="1"/>
        <c:tickLblPos val="nextTo"/>
        <c:crossAx val="155816320"/>
        <c:crosses val="autoZero"/>
        <c:crossBetween val="between"/>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'10 těles'!$AS$9:$AS$12</c:f>
              <c:numCache>
                <c:formatCode>General</c:formatCode>
                <c:ptCount val="4"/>
                <c:pt idx="0">
                  <c:v>90</c:v>
                </c:pt>
                <c:pt idx="1">
                  <c:v>75</c:v>
                </c:pt>
                <c:pt idx="2">
                  <c:v>70</c:v>
                </c:pt>
                <c:pt idx="3">
                  <c:v>55</c:v>
                </c:pt>
              </c:numCache>
            </c:numRef>
          </c:xVal>
          <c:yVal>
            <c:numRef>
              <c:f>'10 těles'!$AU$9:$AU$12</c:f>
              <c:numCache>
                <c:formatCode>General</c:formatCode>
                <c:ptCount val="4"/>
                <c:pt idx="0">
                  <c:v>1281</c:v>
                </c:pt>
                <c:pt idx="1">
                  <c:v>1005</c:v>
                </c:pt>
                <c:pt idx="2">
                  <c:v>810</c:v>
                </c:pt>
                <c:pt idx="3">
                  <c:v>510</c:v>
                </c:pt>
              </c:numCache>
            </c:numRef>
          </c:yVal>
          <c:extLst xmlns:c16r2="http://schemas.microsoft.com/office/drawing/2015/06/chart">
            <c:ext xmlns:c16="http://schemas.microsoft.com/office/drawing/2014/chart" uri="{C3380CC4-5D6E-409C-BE32-E72D297353CC}">
              <c16:uniqueId val="{00000000-35B7-4F6D-93D0-70F7CB5513EE}"/>
            </c:ext>
          </c:extLst>
        </c:ser>
        <c:ser>
          <c:idx val="1"/>
          <c:order val="1"/>
          <c:xVal>
            <c:numRef>
              <c:f>'10 těles'!$AS$9:$AS$12</c:f>
              <c:numCache>
                <c:formatCode>General</c:formatCode>
                <c:ptCount val="4"/>
                <c:pt idx="0">
                  <c:v>90</c:v>
                </c:pt>
                <c:pt idx="1">
                  <c:v>75</c:v>
                </c:pt>
                <c:pt idx="2">
                  <c:v>70</c:v>
                </c:pt>
                <c:pt idx="3">
                  <c:v>55</c:v>
                </c:pt>
              </c:numCache>
            </c:numRef>
          </c:xVal>
          <c:yVal>
            <c:numRef>
              <c:f>'10 těles'!$AV$9:$AV$12</c:f>
              <c:numCache>
                <c:formatCode>General</c:formatCode>
                <c:ptCount val="4"/>
                <c:pt idx="0">
                  <c:v>1311</c:v>
                </c:pt>
                <c:pt idx="1">
                  <c:v>996</c:v>
                </c:pt>
                <c:pt idx="2">
                  <c:v>820</c:v>
                </c:pt>
                <c:pt idx="3">
                  <c:v>522</c:v>
                </c:pt>
              </c:numCache>
            </c:numRef>
          </c:yVal>
          <c:extLst xmlns:c16r2="http://schemas.microsoft.com/office/drawing/2015/06/chart">
            <c:ext xmlns:c16="http://schemas.microsoft.com/office/drawing/2014/chart" uri="{C3380CC4-5D6E-409C-BE32-E72D297353CC}">
              <c16:uniqueId val="{00000001-35B7-4F6D-93D0-70F7CB5513EE}"/>
            </c:ext>
          </c:extLst>
        </c:ser>
        <c:axId val="123786752"/>
        <c:axId val="123788288"/>
      </c:scatterChart>
      <c:valAx>
        <c:axId val="123786752"/>
        <c:scaling>
          <c:orientation val="minMax"/>
        </c:scaling>
        <c:axPos val="b"/>
        <c:numFmt formatCode="General" sourceLinked="1"/>
        <c:tickLblPos val="nextTo"/>
        <c:crossAx val="123788288"/>
        <c:crosses val="autoZero"/>
        <c:crossBetween val="midCat"/>
      </c:valAx>
      <c:valAx>
        <c:axId val="123788288"/>
        <c:scaling>
          <c:orientation val="minMax"/>
        </c:scaling>
        <c:axPos val="l"/>
        <c:majorGridlines/>
        <c:numFmt formatCode="General" sourceLinked="1"/>
        <c:tickLblPos val="nextTo"/>
        <c:crossAx val="12378675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PT'!$E$54</c:f>
              <c:strCache>
                <c:ptCount val="1"/>
                <c:pt idx="0">
                  <c:v>W/m2K</c:v>
                </c:pt>
              </c:strCache>
            </c:strRef>
          </c:tx>
          <c:xVal>
            <c:numRef>
              <c:f>'výpočet PT'!$C$55:$C$61</c:f>
              <c:numCache>
                <c:formatCode>General</c:formatCode>
                <c:ptCount val="7"/>
                <c:pt idx="0">
                  <c:v>0</c:v>
                </c:pt>
                <c:pt idx="1">
                  <c:v>2.5000000000000001E-2</c:v>
                </c:pt>
                <c:pt idx="2">
                  <c:v>0.05</c:v>
                </c:pt>
                <c:pt idx="3">
                  <c:v>7.4999999999999997E-2</c:v>
                </c:pt>
                <c:pt idx="4">
                  <c:v>0.1</c:v>
                </c:pt>
                <c:pt idx="5">
                  <c:v>0.15</c:v>
                </c:pt>
                <c:pt idx="6">
                  <c:v>0.2</c:v>
                </c:pt>
              </c:numCache>
            </c:numRef>
          </c:xVal>
          <c:yVal>
            <c:numRef>
              <c:f>'výpočet PT'!$E$55:$E$61</c:f>
              <c:numCache>
                <c:formatCode>General</c:formatCode>
                <c:ptCount val="7"/>
                <c:pt idx="3">
                  <c:v>5.1340812696300464</c:v>
                </c:pt>
                <c:pt idx="4">
                  <c:v>4.4593482307496801</c:v>
                </c:pt>
                <c:pt idx="5">
                  <c:v>3.3886385754647042</c:v>
                </c:pt>
                <c:pt idx="6">
                  <c:v>2.6543275049498751</c:v>
                </c:pt>
              </c:numCache>
            </c:numRef>
          </c:yVal>
          <c:extLst xmlns:c16r2="http://schemas.microsoft.com/office/drawing/2015/06/chart">
            <c:ext xmlns:c16="http://schemas.microsoft.com/office/drawing/2014/chart" uri="{C3380CC4-5D6E-409C-BE32-E72D297353CC}">
              <c16:uniqueId val="{00000000-D4B4-472A-99C3-BAF1CBD0C8B2}"/>
            </c:ext>
          </c:extLst>
        </c:ser>
        <c:ser>
          <c:idx val="1"/>
          <c:order val="1"/>
          <c:tx>
            <c:strRef>
              <c:f>'výpočet PT'!$F$54</c:f>
              <c:strCache>
                <c:ptCount val="1"/>
              </c:strCache>
            </c:strRef>
          </c:tx>
          <c:marker>
            <c:symbol val="none"/>
          </c:marker>
          <c:xVal>
            <c:numRef>
              <c:f>'výpočet PT'!$C$55:$C$61</c:f>
              <c:numCache>
                <c:formatCode>General</c:formatCode>
                <c:ptCount val="7"/>
                <c:pt idx="0">
                  <c:v>0</c:v>
                </c:pt>
                <c:pt idx="1">
                  <c:v>2.5000000000000001E-2</c:v>
                </c:pt>
                <c:pt idx="2">
                  <c:v>0.05</c:v>
                </c:pt>
                <c:pt idx="3">
                  <c:v>7.4999999999999997E-2</c:v>
                </c:pt>
                <c:pt idx="4">
                  <c:v>0.1</c:v>
                </c:pt>
                <c:pt idx="5">
                  <c:v>0.15</c:v>
                </c:pt>
                <c:pt idx="6">
                  <c:v>0.2</c:v>
                </c:pt>
              </c:numCache>
            </c:numRef>
          </c:xVal>
          <c:yVal>
            <c:numRef>
              <c:f>'výpočet PT'!$F$55:$F$61</c:f>
              <c:numCache>
                <c:formatCode>General</c:formatCode>
                <c:ptCount val="7"/>
                <c:pt idx="0">
                  <c:v>7.2727272727272734</c:v>
                </c:pt>
                <c:pt idx="1">
                  <c:v>6.9172712864724408</c:v>
                </c:pt>
                <c:pt idx="2">
                  <c:v>6.0995809599559045</c:v>
                </c:pt>
                <c:pt idx="3">
                  <c:v>5.2098095248050935</c:v>
                </c:pt>
                <c:pt idx="4">
                  <c:v>4.4370443621690736</c:v>
                </c:pt>
                <c:pt idx="5">
                  <c:v>3.3212933448538715</c:v>
                </c:pt>
                <c:pt idx="6">
                  <c:v>2.6130308199428858</c:v>
                </c:pt>
              </c:numCache>
            </c:numRef>
          </c:yVal>
          <c:extLst xmlns:c16r2="http://schemas.microsoft.com/office/drawing/2015/06/chart">
            <c:ext xmlns:c16="http://schemas.microsoft.com/office/drawing/2014/chart" uri="{C3380CC4-5D6E-409C-BE32-E72D297353CC}">
              <c16:uniqueId val="{00000001-D4B4-472A-99C3-BAF1CBD0C8B2}"/>
            </c:ext>
          </c:extLst>
        </c:ser>
        <c:ser>
          <c:idx val="2"/>
          <c:order val="2"/>
          <c:tx>
            <c:strRef>
              <c:f>'výpočet PT'!$G$54</c:f>
              <c:strCache>
                <c:ptCount val="1"/>
              </c:strCache>
            </c:strRef>
          </c:tx>
          <c:xVal>
            <c:numRef>
              <c:f>'výpočet PT'!$C$55:$C$61</c:f>
              <c:numCache>
                <c:formatCode>General</c:formatCode>
                <c:ptCount val="7"/>
                <c:pt idx="0">
                  <c:v>0</c:v>
                </c:pt>
                <c:pt idx="1">
                  <c:v>2.5000000000000001E-2</c:v>
                </c:pt>
                <c:pt idx="2">
                  <c:v>0.05</c:v>
                </c:pt>
                <c:pt idx="3">
                  <c:v>7.4999999999999997E-2</c:v>
                </c:pt>
                <c:pt idx="4">
                  <c:v>0.1</c:v>
                </c:pt>
                <c:pt idx="5">
                  <c:v>0.15</c:v>
                </c:pt>
                <c:pt idx="6">
                  <c:v>0.2</c:v>
                </c:pt>
              </c:numCache>
            </c:numRef>
          </c:xVal>
          <c:yVal>
            <c:numRef>
              <c:f>'výpočet PT'!$G$55:$G$61</c:f>
              <c:numCache>
                <c:formatCode>General</c:formatCode>
                <c:ptCount val="7"/>
                <c:pt idx="3">
                  <c:v>5.1816273271159954</c:v>
                </c:pt>
                <c:pt idx="4">
                  <c:v>4.4197168047248088</c:v>
                </c:pt>
                <c:pt idx="5">
                  <c:v>3.3136048859394811</c:v>
                </c:pt>
                <c:pt idx="6">
                  <c:v>2.608998835202831</c:v>
                </c:pt>
              </c:numCache>
            </c:numRef>
          </c:yVal>
          <c:extLst xmlns:c16r2="http://schemas.microsoft.com/office/drawing/2015/06/chart">
            <c:ext xmlns:c16="http://schemas.microsoft.com/office/drawing/2014/chart" uri="{C3380CC4-5D6E-409C-BE32-E72D297353CC}">
              <c16:uniqueId val="{00000002-D4B4-472A-99C3-BAF1CBD0C8B2}"/>
            </c:ext>
          </c:extLst>
        </c:ser>
        <c:ser>
          <c:idx val="3"/>
          <c:order val="3"/>
          <c:tx>
            <c:strRef>
              <c:f>'výpočet PT'!$H$54</c:f>
              <c:strCache>
                <c:ptCount val="1"/>
              </c:strCache>
            </c:strRef>
          </c:tx>
          <c:xVal>
            <c:numRef>
              <c:f>'výpočet PT'!$C$55:$C$61</c:f>
              <c:numCache>
                <c:formatCode>General</c:formatCode>
                <c:ptCount val="7"/>
                <c:pt idx="0">
                  <c:v>0</c:v>
                </c:pt>
                <c:pt idx="1">
                  <c:v>2.5000000000000001E-2</c:v>
                </c:pt>
                <c:pt idx="2">
                  <c:v>0.05</c:v>
                </c:pt>
                <c:pt idx="3">
                  <c:v>7.4999999999999997E-2</c:v>
                </c:pt>
                <c:pt idx="4">
                  <c:v>0.1</c:v>
                </c:pt>
                <c:pt idx="5">
                  <c:v>0.15</c:v>
                </c:pt>
                <c:pt idx="6">
                  <c:v>0.2</c:v>
                </c:pt>
              </c:numCache>
            </c:numRef>
          </c:xVal>
          <c:yVal>
            <c:numRef>
              <c:f>'výpočet PT'!$H$55:$H$61</c:f>
              <c:numCache>
                <c:formatCode>General</c:formatCode>
                <c:ptCount val="7"/>
                <c:pt idx="3">
                  <c:v>3.3869242004344686</c:v>
                </c:pt>
                <c:pt idx="4">
                  <c:v>3.266864028728552</c:v>
                </c:pt>
                <c:pt idx="5">
                  <c:v>2.8261133182847757</c:v>
                </c:pt>
                <c:pt idx="6">
                  <c:v>2.3968498534168798</c:v>
                </c:pt>
              </c:numCache>
            </c:numRef>
          </c:yVal>
          <c:extLst xmlns:c16r2="http://schemas.microsoft.com/office/drawing/2015/06/chart">
            <c:ext xmlns:c16="http://schemas.microsoft.com/office/drawing/2014/chart" uri="{C3380CC4-5D6E-409C-BE32-E72D297353CC}">
              <c16:uniqueId val="{00000003-D4B4-472A-99C3-BAF1CBD0C8B2}"/>
            </c:ext>
          </c:extLst>
        </c:ser>
        <c:axId val="155991424"/>
        <c:axId val="155997312"/>
      </c:scatterChart>
      <c:valAx>
        <c:axId val="155991424"/>
        <c:scaling>
          <c:orientation val="minMax"/>
        </c:scaling>
        <c:axPos val="b"/>
        <c:numFmt formatCode="General" sourceLinked="1"/>
        <c:tickLblPos val="nextTo"/>
        <c:crossAx val="155997312"/>
        <c:crosses val="autoZero"/>
        <c:crossBetween val="midCat"/>
      </c:valAx>
      <c:valAx>
        <c:axId val="155997312"/>
        <c:scaling>
          <c:orientation val="minMax"/>
        </c:scaling>
        <c:axPos val="l"/>
        <c:majorGridlines/>
        <c:numFmt formatCode="General" sourceLinked="1"/>
        <c:tickLblPos val="nextTo"/>
        <c:crossAx val="15599142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'výpočet PT'!$A$90:$A$100</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'výpočet PT'!$G$90:$G$100</c:f>
              <c:numCache>
                <c:formatCode>General</c:formatCode>
                <c:ptCount val="11"/>
                <c:pt idx="0">
                  <c:v>1</c:v>
                </c:pt>
                <c:pt idx="1">
                  <c:v>0.91456487537448394</c:v>
                </c:pt>
                <c:pt idx="2">
                  <c:v>0.83642891126874541</c:v>
                </c:pt>
                <c:pt idx="3">
                  <c:v>0.76496850299411545</c:v>
                </c:pt>
                <c:pt idx="4">
                  <c:v>0.69961332360621875</c:v>
                </c:pt>
                <c:pt idx="5">
                  <c:v>0.63984177211424997</c:v>
                </c:pt>
                <c:pt idx="6">
                  <c:v>0.58517681057305804</c:v>
                </c:pt>
                <c:pt idx="7">
                  <c:v>0.53518215683378678</c:v>
                </c:pt>
                <c:pt idx="8">
                  <c:v>0.4894588025673397</c:v>
                </c:pt>
                <c:pt idx="9">
                  <c:v>0.44764182877094322</c:v>
                </c:pt>
                <c:pt idx="10">
                  <c:v>0.4093974933423038</c:v>
                </c:pt>
              </c:numCache>
            </c:numRef>
          </c:yVal>
          <c:extLst xmlns:c16r2="http://schemas.microsoft.com/office/drawing/2015/06/chart">
            <c:ext xmlns:c16="http://schemas.microsoft.com/office/drawing/2014/chart" uri="{C3380CC4-5D6E-409C-BE32-E72D297353CC}">
              <c16:uniqueId val="{00000000-6009-4C7A-AD19-571601F25454}"/>
            </c:ext>
          </c:extLst>
        </c:ser>
        <c:ser>
          <c:idx val="1"/>
          <c:order val="1"/>
          <c:marker>
            <c:symbol val="none"/>
          </c:marker>
          <c:xVal>
            <c:numRef>
              <c:f>'výpočet PT'!$A$90:$A$100</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'výpočet PT'!$H$90:$H$100</c:f>
              <c:numCache>
                <c:formatCode>General</c:formatCode>
                <c:ptCount val="11"/>
                <c:pt idx="0">
                  <c:v>1</c:v>
                </c:pt>
                <c:pt idx="1">
                  <c:v>0.93626745150273094</c:v>
                </c:pt>
                <c:pt idx="2">
                  <c:v>0.87659674074341853</c:v>
                </c:pt>
                <c:pt idx="3">
                  <c:v>0.8207289964514406</c:v>
                </c:pt>
                <c:pt idx="4">
                  <c:v>0.76842184588198414</c:v>
                </c:pt>
                <c:pt idx="5">
                  <c:v>0.71944836332294959</c:v>
                </c:pt>
                <c:pt idx="6">
                  <c:v>0.67359608561618878</c:v>
                </c:pt>
                <c:pt idx="7">
                  <c:v>0.63066609042208444</c:v>
                </c:pt>
                <c:pt idx="8">
                  <c:v>0.59047213322867587</c:v>
                </c:pt>
                <c:pt idx="9">
                  <c:v>0.55283983936139325</c:v>
                </c:pt>
                <c:pt idx="10">
                  <c:v>0.51760594748807087</c:v>
                </c:pt>
              </c:numCache>
            </c:numRef>
          </c:yVal>
          <c:extLst xmlns:c16r2="http://schemas.microsoft.com/office/drawing/2015/06/chart">
            <c:ext xmlns:c16="http://schemas.microsoft.com/office/drawing/2014/chart" uri="{C3380CC4-5D6E-409C-BE32-E72D297353CC}">
              <c16:uniqueId val="{00000001-6009-4C7A-AD19-571601F25454}"/>
            </c:ext>
          </c:extLst>
        </c:ser>
        <c:axId val="156009216"/>
        <c:axId val="156010752"/>
      </c:scatterChart>
      <c:valAx>
        <c:axId val="156009216"/>
        <c:scaling>
          <c:orientation val="minMax"/>
          <c:max val="10"/>
        </c:scaling>
        <c:axPos val="b"/>
        <c:majorGridlines/>
        <c:numFmt formatCode="General" sourceLinked="1"/>
        <c:tickLblPos val="nextTo"/>
        <c:crossAx val="156010752"/>
        <c:crosses val="autoZero"/>
        <c:crossBetween val="midCat"/>
        <c:majorUnit val="1"/>
      </c:valAx>
      <c:valAx>
        <c:axId val="156010752"/>
        <c:scaling>
          <c:orientation val="minMax"/>
        </c:scaling>
        <c:axPos val="l"/>
        <c:majorGridlines/>
        <c:numFmt formatCode="General" sourceLinked="1"/>
        <c:tickLblPos val="nextTo"/>
        <c:crossAx val="156009216"/>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PT'!$BH$38</c:f>
              <c:strCache>
                <c:ptCount val="1"/>
                <c:pt idx="0">
                  <c:v>20pr13 t</c:v>
                </c:pt>
              </c:strCache>
            </c:strRef>
          </c:tx>
          <c:marker>
            <c:symbol val="none"/>
          </c:marker>
          <c:xVal>
            <c:numRef>
              <c:f>'výpočet PT'!$BI$34:$BR$34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PT'!$BI$38:$BR$38</c:f>
              <c:numCache>
                <c:formatCode>General</c:formatCode>
                <c:ptCount val="10"/>
                <c:pt idx="0">
                  <c:v>3.2961662227011979</c:v>
                </c:pt>
                <c:pt idx="1">
                  <c:v>4.0166051623642618</c:v>
                </c:pt>
                <c:pt idx="2">
                  <c:v>4.3289979521967856</c:v>
                </c:pt>
                <c:pt idx="3">
                  <c:v>4.453451512749397</c:v>
                </c:pt>
                <c:pt idx="4">
                  <c:v>4.4671517578137916</c:v>
                </c:pt>
                <c:pt idx="5">
                  <c:v>4.2455749378495211</c:v>
                </c:pt>
                <c:pt idx="6">
                  <c:v>3.8790028092177198</c:v>
                </c:pt>
                <c:pt idx="7">
                  <c:v>3.1482880133528441</c:v>
                </c:pt>
                <c:pt idx="8">
                  <c:v>2.5812055043711655</c:v>
                </c:pt>
                <c:pt idx="9">
                  <c:v>2.1645878883503267</c:v>
                </c:pt>
              </c:numCache>
            </c:numRef>
          </c:yVal>
          <c:extLst xmlns:c16r2="http://schemas.microsoft.com/office/drawing/2015/06/chart">
            <c:ext xmlns:c16="http://schemas.microsoft.com/office/drawing/2014/chart" uri="{C3380CC4-5D6E-409C-BE32-E72D297353CC}">
              <c16:uniqueId val="{00000000-BCD8-4491-9227-BE1D33E96754}"/>
            </c:ext>
          </c:extLst>
        </c:ser>
        <c:ser>
          <c:idx val="1"/>
          <c:order val="1"/>
          <c:tx>
            <c:strRef>
              <c:f>'výpočet PT'!$BH$39</c:f>
              <c:strCache>
                <c:ptCount val="1"/>
                <c:pt idx="0">
                  <c:v>5 pr13 ch</c:v>
                </c:pt>
              </c:strCache>
            </c:strRef>
          </c:tx>
          <c:marker>
            <c:symbol val="none"/>
          </c:marker>
          <c:xVal>
            <c:numRef>
              <c:f>'výpočet PT'!$BI$34:$BR$34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PT'!$BI$39:$BR$39</c:f>
              <c:numCache>
                <c:formatCode>General</c:formatCode>
                <c:ptCount val="10"/>
                <c:pt idx="0">
                  <c:v>1.635435235310182</c:v>
                </c:pt>
                <c:pt idx="1">
                  <c:v>2.0998510172203506</c:v>
                </c:pt>
                <c:pt idx="2">
                  <c:v>2.3423052048689308</c:v>
                </c:pt>
                <c:pt idx="3">
                  <c:v>2.4804012602267789</c:v>
                </c:pt>
                <c:pt idx="4">
                  <c:v>2.5556519820979204</c:v>
                </c:pt>
                <c:pt idx="5">
                  <c:v>2.5830052946321227</c:v>
                </c:pt>
                <c:pt idx="6">
                  <c:v>2.4872530584627728</c:v>
                </c:pt>
                <c:pt idx="7">
                  <c:v>2.1770150057436952</c:v>
                </c:pt>
                <c:pt idx="8">
                  <c:v>1.8680375826605478</c:v>
                </c:pt>
                <c:pt idx="9">
                  <c:v>1.6108345554421708</c:v>
                </c:pt>
              </c:numCache>
            </c:numRef>
          </c:yVal>
          <c:extLst xmlns:c16r2="http://schemas.microsoft.com/office/drawing/2015/06/chart">
            <c:ext xmlns:c16="http://schemas.microsoft.com/office/drawing/2014/chart" uri="{C3380CC4-5D6E-409C-BE32-E72D297353CC}">
              <c16:uniqueId val="{00000001-BCD8-4491-9227-BE1D33E96754}"/>
            </c:ext>
          </c:extLst>
        </c:ser>
        <c:ser>
          <c:idx val="2"/>
          <c:order val="2"/>
          <c:tx>
            <c:strRef>
              <c:f>'výpočet PT'!$BH$40</c:f>
              <c:strCache>
                <c:ptCount val="1"/>
                <c:pt idx="0">
                  <c:v>10</c:v>
                </c:pt>
              </c:strCache>
            </c:strRef>
          </c:tx>
          <c:marker>
            <c:symbol val="none"/>
          </c:marker>
          <c:xVal>
            <c:numRef>
              <c:f>'výpočet PT'!$BI$34:$BR$34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PT'!$BI$40:$BR$40</c:f>
              <c:numCache>
                <c:formatCode>General</c:formatCode>
                <c:ptCount val="10"/>
                <c:pt idx="0">
                  <c:v>2.1095095058588886</c:v>
                </c:pt>
                <c:pt idx="1">
                  <c:v>2.5393984734103574</c:v>
                </c:pt>
                <c:pt idx="2">
                  <c:v>2.7364294468046819</c:v>
                </c:pt>
                <c:pt idx="3">
                  <c:v>2.8323152487515921</c:v>
                </c:pt>
                <c:pt idx="4">
                  <c:v>2.8694645766923323</c:v>
                </c:pt>
                <c:pt idx="5">
                  <c:v>2.8176459581200715</c:v>
                </c:pt>
                <c:pt idx="6">
                  <c:v>2.6623541355327598</c:v>
                </c:pt>
                <c:pt idx="7">
                  <c:v>2.2767026570861457</c:v>
                </c:pt>
                <c:pt idx="8">
                  <c:v>1.9280324028296678</c:v>
                </c:pt>
                <c:pt idx="9">
                  <c:v>1.6492063676153701</c:v>
                </c:pt>
              </c:numCache>
            </c:numRef>
          </c:yVal>
          <c:extLst xmlns:c16r2="http://schemas.microsoft.com/office/drawing/2015/06/chart">
            <c:ext xmlns:c16="http://schemas.microsoft.com/office/drawing/2014/chart" uri="{C3380CC4-5D6E-409C-BE32-E72D297353CC}">
              <c16:uniqueId val="{00000002-BCD8-4491-9227-BE1D33E96754}"/>
            </c:ext>
          </c:extLst>
        </c:ser>
        <c:ser>
          <c:idx val="3"/>
          <c:order val="3"/>
          <c:tx>
            <c:strRef>
              <c:f>'výpočet PT'!$BH$41</c:f>
              <c:strCache>
                <c:ptCount val="1"/>
                <c:pt idx="0">
                  <c:v>15</c:v>
                </c:pt>
              </c:strCache>
            </c:strRef>
          </c:tx>
          <c:marker>
            <c:symbol val="none"/>
          </c:marker>
          <c:xVal>
            <c:numRef>
              <c:f>'výpočet PT'!$BI$34:$BR$34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PT'!$BI$41:$BR$41</c:f>
              <c:numCache>
                <c:formatCode>General</c:formatCode>
                <c:ptCount val="10"/>
                <c:pt idx="0">
                  <c:v>2.3765338678121304</c:v>
                </c:pt>
                <c:pt idx="1">
                  <c:v>2.7671088240607085</c:v>
                </c:pt>
                <c:pt idx="2">
                  <c:v>2.9325243774448309</c:v>
                </c:pt>
                <c:pt idx="3">
                  <c:v>3.0030034770736647</c:v>
                </c:pt>
                <c:pt idx="4">
                  <c:v>3.0189174264368535</c:v>
                </c:pt>
                <c:pt idx="5">
                  <c:v>2.9260507301647749</c:v>
                </c:pt>
                <c:pt idx="6">
                  <c:v>2.7417017100663026</c:v>
                </c:pt>
                <c:pt idx="7">
                  <c:v>2.3208381463812753</c:v>
                </c:pt>
                <c:pt idx="8">
                  <c:v>1.9542533206993038</c:v>
                </c:pt>
                <c:pt idx="9">
                  <c:v>1.6658458294697278</c:v>
                </c:pt>
              </c:numCache>
            </c:numRef>
          </c:yVal>
          <c:extLst xmlns:c16r2="http://schemas.microsoft.com/office/drawing/2015/06/chart">
            <c:ext xmlns:c16="http://schemas.microsoft.com/office/drawing/2014/chart" uri="{C3380CC4-5D6E-409C-BE32-E72D297353CC}">
              <c16:uniqueId val="{00000003-BCD8-4491-9227-BE1D33E96754}"/>
            </c:ext>
          </c:extLst>
        </c:ser>
        <c:ser>
          <c:idx val="4"/>
          <c:order val="4"/>
          <c:tx>
            <c:strRef>
              <c:f>'výpočet PT'!$BH$42</c:f>
              <c:strCache>
                <c:ptCount val="1"/>
                <c:pt idx="0">
                  <c:v>20pr13 ch</c:v>
                </c:pt>
              </c:strCache>
            </c:strRef>
          </c:tx>
          <c:marker>
            <c:symbol val="none"/>
          </c:marker>
          <c:xVal>
            <c:numRef>
              <c:f>'výpočet PT'!$BI$34:$BR$34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PT'!$BI$42:$BR$42</c:f>
              <c:numCache>
                <c:formatCode>General</c:formatCode>
                <c:ptCount val="10"/>
                <c:pt idx="0">
                  <c:v>2.5549153854514013</c:v>
                </c:pt>
                <c:pt idx="1">
                  <c:v>2.9127447274958516</c:v>
                </c:pt>
                <c:pt idx="2">
                  <c:v>3.0554159473598559</c:v>
                </c:pt>
                <c:pt idx="3">
                  <c:v>3.1086301434962729</c:v>
                </c:pt>
                <c:pt idx="4">
                  <c:v>3.1105769840354465</c:v>
                </c:pt>
                <c:pt idx="5">
                  <c:v>2.9915604593626939</c:v>
                </c:pt>
                <c:pt idx="6">
                  <c:v>2.7892069642011572</c:v>
                </c:pt>
                <c:pt idx="7">
                  <c:v>2.3469695960689632</c:v>
                </c:pt>
                <c:pt idx="8">
                  <c:v>1.9696828788779337</c:v>
                </c:pt>
                <c:pt idx="9">
                  <c:v>1.6756008748333167</c:v>
                </c:pt>
              </c:numCache>
            </c:numRef>
          </c:yVal>
          <c:extLst xmlns:c16r2="http://schemas.microsoft.com/office/drawing/2015/06/chart">
            <c:ext xmlns:c16="http://schemas.microsoft.com/office/drawing/2014/chart" uri="{C3380CC4-5D6E-409C-BE32-E72D297353CC}">
              <c16:uniqueId val="{00000004-BCD8-4491-9227-BE1D33E96754}"/>
            </c:ext>
          </c:extLst>
        </c:ser>
        <c:axId val="155926912"/>
        <c:axId val="155928448"/>
      </c:scatterChart>
      <c:valAx>
        <c:axId val="155926912"/>
        <c:scaling>
          <c:orientation val="minMax"/>
          <c:max val="0.5"/>
        </c:scaling>
        <c:axPos val="b"/>
        <c:majorGridlines/>
        <c:numFmt formatCode="General" sourceLinked="1"/>
        <c:tickLblPos val="nextTo"/>
        <c:crossAx val="155928448"/>
        <c:crosses val="autoZero"/>
        <c:crossBetween val="midCat"/>
        <c:majorUnit val="0.05"/>
      </c:valAx>
      <c:valAx>
        <c:axId val="155928448"/>
        <c:scaling>
          <c:orientation val="minMax"/>
        </c:scaling>
        <c:axPos val="l"/>
        <c:majorGridlines/>
        <c:numFmt formatCode="General" sourceLinked="1"/>
        <c:tickLblPos val="nextTo"/>
        <c:crossAx val="15592691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15 cm</a:t>
            </a:r>
          </a:p>
        </c:rich>
      </c:tx>
    </c:title>
    <c:plotArea>
      <c:layout/>
      <c:scatterChart>
        <c:scatterStyle val="lineMarker"/>
        <c:ser>
          <c:idx val="0"/>
          <c:order val="0"/>
          <c:tx>
            <c:strRef>
              <c:f>'výpočet PT'!$AT$11</c:f>
              <c:strCache>
                <c:ptCount val="1"/>
                <c:pt idx="0">
                  <c:v>0,385</c:v>
                </c:pt>
              </c:strCache>
            </c:strRef>
          </c:tx>
          <c:marker>
            <c:symbol val="none"/>
          </c:marker>
          <c:xVal>
            <c:numRef>
              <c:f>'výpočet PT'!$AS$12:$AS$22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'výpočet PT'!$AT$12:$AT$22</c:f>
              <c:numCache>
                <c:formatCode>General</c:formatCode>
                <c:ptCount val="11"/>
                <c:pt idx="0">
                  <c:v>1</c:v>
                </c:pt>
                <c:pt idx="1">
                  <c:v>0.84599999999999997</c:v>
                </c:pt>
                <c:pt idx="2">
                  <c:v>0.71571600000000002</c:v>
                </c:pt>
                <c:pt idx="3">
                  <c:v>0.60549573599999995</c:v>
                </c:pt>
                <c:pt idx="4">
                  <c:v>0.51224939265599989</c:v>
                </c:pt>
                <c:pt idx="5">
                  <c:v>0.43336298618697588</c:v>
                </c:pt>
                <c:pt idx="6">
                  <c:v>0.36662508631418156</c:v>
                </c:pt>
                <c:pt idx="7">
                  <c:v>0.3101648230217976</c:v>
                </c:pt>
                <c:pt idx="8">
                  <c:v>0.26239944027644074</c:v>
                </c:pt>
                <c:pt idx="9">
                  <c:v>0.22198992647386886</c:v>
                </c:pt>
                <c:pt idx="10">
                  <c:v>0.18780347779689305</c:v>
                </c:pt>
              </c:numCache>
            </c:numRef>
          </c:yVal>
          <c:extLst xmlns:c16r2="http://schemas.microsoft.com/office/drawing/2015/06/chart">
            <c:ext xmlns:c16="http://schemas.microsoft.com/office/drawing/2014/chart" uri="{C3380CC4-5D6E-409C-BE32-E72D297353CC}">
              <c16:uniqueId val="{00000000-6AE3-484C-B52D-2E45E7110245}"/>
            </c:ext>
          </c:extLst>
        </c:ser>
        <c:ser>
          <c:idx val="1"/>
          <c:order val="1"/>
          <c:tx>
            <c:strRef>
              <c:f>'výpočet PT'!$AU$11</c:f>
              <c:strCache>
                <c:ptCount val="1"/>
                <c:pt idx="0">
                  <c:v>0,179</c:v>
                </c:pt>
              </c:strCache>
            </c:strRef>
          </c:tx>
          <c:marker>
            <c:symbol val="none"/>
          </c:marker>
          <c:xVal>
            <c:numRef>
              <c:f>'výpočet PT'!$AS$12:$AS$22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'výpočet PT'!$AU$12:$AU$22</c:f>
              <c:numCache>
                <c:formatCode>General</c:formatCode>
                <c:ptCount val="11"/>
                <c:pt idx="0">
                  <c:v>1</c:v>
                </c:pt>
                <c:pt idx="1">
                  <c:v>0.79887312901025753</c:v>
                </c:pt>
                <c:pt idx="2">
                  <c:v>0.680365213135529</c:v>
                </c:pt>
                <c:pt idx="3">
                  <c:v>0.58093004122619307</c:v>
                </c:pt>
                <c:pt idx="4">
                  <c:v>0.49778013747019101</c:v>
                </c:pt>
                <c:pt idx="5">
                  <c:v>0.4285845525560838</c:v>
                </c:pt>
                <c:pt idx="6">
                  <c:v>0.37140351994507365</c:v>
                </c:pt>
                <c:pt idx="7">
                  <c:v>0.32463407820760648</c:v>
                </c:pt>
                <c:pt idx="8">
                  <c:v>0.28696513505024757</c:v>
                </c:pt>
                <c:pt idx="9">
                  <c:v>0.25734071333833985</c:v>
                </c:pt>
                <c:pt idx="10">
                  <c:v>0.23493034878663552</c:v>
                </c:pt>
              </c:numCache>
            </c:numRef>
          </c:yVal>
          <c:extLst xmlns:c16r2="http://schemas.microsoft.com/office/drawing/2015/06/chart">
            <c:ext xmlns:c16="http://schemas.microsoft.com/office/drawing/2014/chart" uri="{C3380CC4-5D6E-409C-BE32-E72D297353CC}">
              <c16:uniqueId val="{00000001-6AE3-484C-B52D-2E45E7110245}"/>
            </c:ext>
          </c:extLst>
        </c:ser>
        <c:axId val="155969408"/>
        <c:axId val="155970944"/>
      </c:scatterChart>
      <c:valAx>
        <c:axId val="155969408"/>
        <c:scaling>
          <c:orientation val="minMax"/>
        </c:scaling>
        <c:axPos val="b"/>
        <c:numFmt formatCode="General" sourceLinked="1"/>
        <c:tickLblPos val="nextTo"/>
        <c:crossAx val="155970944"/>
        <c:crosses val="autoZero"/>
        <c:crossBetween val="midCat"/>
      </c:valAx>
      <c:valAx>
        <c:axId val="155970944"/>
        <c:scaling>
          <c:orientation val="minMax"/>
        </c:scaling>
        <c:axPos val="l"/>
        <c:majorGridlines/>
        <c:numFmt formatCode="General" sourceLinked="1"/>
        <c:tickLblPos val="nextTo"/>
        <c:crossAx val="15596940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20 cm</a:t>
            </a:r>
          </a:p>
        </c:rich>
      </c:tx>
    </c:title>
    <c:plotArea>
      <c:layout/>
      <c:scatterChart>
        <c:scatterStyle val="lineMarker"/>
        <c:ser>
          <c:idx val="0"/>
          <c:order val="0"/>
          <c:tx>
            <c:strRef>
              <c:f>'výpočet PT'!$AV$11</c:f>
              <c:strCache>
                <c:ptCount val="1"/>
                <c:pt idx="0">
                  <c:v>0,446</c:v>
                </c:pt>
              </c:strCache>
            </c:strRef>
          </c:tx>
          <c:marker>
            <c:symbol val="none"/>
          </c:marker>
          <c:xVal>
            <c:numRef>
              <c:f>'výpočet PT'!$AS$12:$AS$22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'výpočet PT'!$AV$12:$AV$22</c:f>
              <c:numCache>
                <c:formatCode>General</c:formatCode>
                <c:ptCount val="11"/>
                <c:pt idx="0">
                  <c:v>1</c:v>
                </c:pt>
                <c:pt idx="1">
                  <c:v>0.8216</c:v>
                </c:pt>
                <c:pt idx="2">
                  <c:v>0.67502655999999994</c:v>
                </c:pt>
                <c:pt idx="3">
                  <c:v>0.55460182169599992</c:v>
                </c:pt>
                <c:pt idx="4">
                  <c:v>0.45566085670543355</c:v>
                </c:pt>
                <c:pt idx="5">
                  <c:v>0.37437095986918423</c:v>
                </c:pt>
                <c:pt idx="6">
                  <c:v>0.30758318062852175</c:v>
                </c:pt>
                <c:pt idx="7">
                  <c:v>0.25271034120439345</c:v>
                </c:pt>
                <c:pt idx="8">
                  <c:v>0.20762681633352964</c:v>
                </c:pt>
                <c:pt idx="9">
                  <c:v>0.17058619229962796</c:v>
                </c:pt>
                <c:pt idx="10">
                  <c:v>0.14015361559337433</c:v>
                </c:pt>
              </c:numCache>
            </c:numRef>
          </c:yVal>
          <c:extLst xmlns:c16r2="http://schemas.microsoft.com/office/drawing/2015/06/chart">
            <c:ext xmlns:c16="http://schemas.microsoft.com/office/drawing/2014/chart" uri="{C3380CC4-5D6E-409C-BE32-E72D297353CC}">
              <c16:uniqueId val="{00000000-1FB0-4A65-BC9C-DCE130341E5E}"/>
            </c:ext>
          </c:extLst>
        </c:ser>
        <c:ser>
          <c:idx val="1"/>
          <c:order val="1"/>
          <c:tx>
            <c:strRef>
              <c:f>'výpočet PT'!$AW$11</c:f>
              <c:strCache>
                <c:ptCount val="1"/>
                <c:pt idx="0">
                  <c:v>0,103</c:v>
                </c:pt>
              </c:strCache>
            </c:strRef>
          </c:tx>
          <c:marker>
            <c:symbol val="none"/>
          </c:marker>
          <c:xVal>
            <c:numRef>
              <c:f>'výpočet PT'!$AS$12:$AS$22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xVal>
          <c:yVal>
            <c:numRef>
              <c:f>'výpočet PT'!$AW$12:$AW$22</c:f>
              <c:numCache>
                <c:formatCode>General</c:formatCode>
                <c:ptCount val="11"/>
                <c:pt idx="0">
                  <c:v>1</c:v>
                </c:pt>
                <c:pt idx="1">
                  <c:v>0.79352440896244703</c:v>
                </c:pt>
                <c:pt idx="2">
                  <c:v>0.65424361685074461</c:v>
                </c:pt>
                <c:pt idx="3">
                  <c:v>0.54030645147506617</c:v>
                </c:pt>
                <c:pt idx="4">
                  <c:v>0.4472992954667907</c:v>
                </c:pt>
                <c:pt idx="5">
                  <c:v>0.37161930336446891</c:v>
                </c:pt>
                <c:pt idx="6">
                  <c:v>0.31033483713323706</c:v>
                </c:pt>
                <c:pt idx="7">
                  <c:v>0.2610719024430363</c:v>
                </c:pt>
                <c:pt idx="8">
                  <c:v>0.22192218655446341</c:v>
                </c:pt>
                <c:pt idx="9">
                  <c:v>0.19136913544888329</c:v>
                </c:pt>
                <c:pt idx="10">
                  <c:v>0.1682292066309273</c:v>
                </c:pt>
              </c:numCache>
            </c:numRef>
          </c:yVal>
          <c:extLst xmlns:c16r2="http://schemas.microsoft.com/office/drawing/2015/06/chart">
            <c:ext xmlns:c16="http://schemas.microsoft.com/office/drawing/2014/chart" uri="{C3380CC4-5D6E-409C-BE32-E72D297353CC}">
              <c16:uniqueId val="{00000001-1FB0-4A65-BC9C-DCE130341E5E}"/>
            </c:ext>
          </c:extLst>
        </c:ser>
        <c:axId val="156147712"/>
        <c:axId val="156149248"/>
      </c:scatterChart>
      <c:valAx>
        <c:axId val="156147712"/>
        <c:scaling>
          <c:orientation val="minMax"/>
        </c:scaling>
        <c:axPos val="b"/>
        <c:numFmt formatCode="General" sourceLinked="1"/>
        <c:tickLblPos val="nextTo"/>
        <c:crossAx val="156149248"/>
        <c:crosses val="autoZero"/>
        <c:crossBetween val="midCat"/>
      </c:valAx>
      <c:valAx>
        <c:axId val="156149248"/>
        <c:scaling>
          <c:orientation val="minMax"/>
        </c:scaling>
        <c:axPos val="l"/>
        <c:majorGridlines/>
        <c:numFmt formatCode="General" sourceLinked="1"/>
        <c:tickLblPos val="nextTo"/>
        <c:crossAx val="15614771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val>
            <c:numRef>
              <c:f>'výpočet PT'!$I$58:$I$61</c:f>
              <c:numCache>
                <c:formatCode>General</c:formatCode>
                <c:ptCount val="4"/>
                <c:pt idx="0">
                  <c:v>0.65364102561184623</c:v>
                </c:pt>
                <c:pt idx="1">
                  <c:v>0.73915686752512677</c:v>
                </c:pt>
                <c:pt idx="2">
                  <c:v>0.85288180563613258</c:v>
                </c:pt>
                <c:pt idx="3">
                  <c:v>0.91868567401278345</c:v>
                </c:pt>
              </c:numCache>
            </c:numRef>
          </c:val>
          <c:extLst xmlns:c16r2="http://schemas.microsoft.com/office/drawing/2015/06/chart">
            <c:ext xmlns:c16="http://schemas.microsoft.com/office/drawing/2014/chart" uri="{C3380CC4-5D6E-409C-BE32-E72D297353CC}">
              <c16:uniqueId val="{00000000-7C78-44C6-B927-6936755DBE52}"/>
            </c:ext>
          </c:extLst>
        </c:ser>
        <c:marker val="1"/>
        <c:axId val="156177536"/>
        <c:axId val="156179072"/>
      </c:lineChart>
      <c:catAx>
        <c:axId val="156177536"/>
        <c:scaling>
          <c:orientation val="minMax"/>
        </c:scaling>
        <c:axPos val="b"/>
        <c:tickLblPos val="nextTo"/>
        <c:crossAx val="156179072"/>
        <c:crosses val="autoZero"/>
        <c:auto val="1"/>
        <c:lblAlgn val="ctr"/>
        <c:lblOffset val="100"/>
      </c:catAx>
      <c:valAx>
        <c:axId val="156179072"/>
        <c:scaling>
          <c:orientation val="minMax"/>
        </c:scaling>
        <c:axPos val="l"/>
        <c:majorGridlines/>
        <c:numFmt formatCode="General" sourceLinked="1"/>
        <c:tickLblPos val="nextTo"/>
        <c:crossAx val="156177536"/>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PT'!$BV$38</c:f>
              <c:strCache>
                <c:ptCount val="1"/>
                <c:pt idx="0">
                  <c:v>20pr13 t</c:v>
                </c:pt>
              </c:strCache>
            </c:strRef>
          </c:tx>
          <c:marker>
            <c:symbol val="none"/>
          </c:marker>
          <c:xVal>
            <c:numRef>
              <c:f>'výpočet PT'!$BW$34:$CH$34</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PT'!$BW$38:$CH$38</c:f>
              <c:numCache>
                <c:formatCode>General</c:formatCode>
                <c:ptCount val="12"/>
                <c:pt idx="0">
                  <c:v>1.3693834164279861</c:v>
                </c:pt>
                <c:pt idx="1">
                  <c:v>1.9735358716048639</c:v>
                </c:pt>
                <c:pt idx="2">
                  <c:v>2.3756040387450006</c:v>
                </c:pt>
                <c:pt idx="3">
                  <c:v>2.6521191150877765</c:v>
                </c:pt>
                <c:pt idx="4">
                  <c:v>2.8381908721065754</c:v>
                </c:pt>
                <c:pt idx="5">
                  <c:v>3.0342751949524707</c:v>
                </c:pt>
                <c:pt idx="6">
                  <c:v>2.9998261810777804</c:v>
                </c:pt>
                <c:pt idx="7">
                  <c:v>2.6755375739459168</c:v>
                </c:pt>
                <c:pt idx="8">
                  <c:v>2.3075501279269806</c:v>
                </c:pt>
                <c:pt idx="9">
                  <c:v>1.99374861355243</c:v>
                </c:pt>
                <c:pt idx="10">
                  <c:v>1.7410753250105564</c:v>
                </c:pt>
                <c:pt idx="11">
                  <c:v>1.5387458570535497</c:v>
                </c:pt>
              </c:numCache>
            </c:numRef>
          </c:yVal>
          <c:extLst xmlns:c16r2="http://schemas.microsoft.com/office/drawing/2015/06/chart">
            <c:ext xmlns:c16="http://schemas.microsoft.com/office/drawing/2014/chart" uri="{C3380CC4-5D6E-409C-BE32-E72D297353CC}">
              <c16:uniqueId val="{00000000-BD57-4B0C-B6D2-86078A0C6254}"/>
            </c:ext>
          </c:extLst>
        </c:ser>
        <c:ser>
          <c:idx val="1"/>
          <c:order val="1"/>
          <c:tx>
            <c:strRef>
              <c:f>'výpočet PT'!$BV$39</c:f>
              <c:strCache>
                <c:ptCount val="1"/>
                <c:pt idx="0">
                  <c:v>5 pr13 ch</c:v>
                </c:pt>
              </c:strCache>
            </c:strRef>
          </c:tx>
          <c:marker>
            <c:symbol val="none"/>
          </c:marker>
          <c:xVal>
            <c:numRef>
              <c:f>'výpočet PT'!$BW$34:$CH$34</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PT'!$BW$39:$CH$39</c:f>
              <c:numCache>
                <c:formatCode>General</c:formatCode>
                <c:ptCount val="12"/>
                <c:pt idx="0">
                  <c:v>0.61859822615208471</c:v>
                </c:pt>
                <c:pt idx="1">
                  <c:v>0.9119513116745277</c:v>
                </c:pt>
                <c:pt idx="2">
                  <c:v>1.1269123106742378</c:v>
                </c:pt>
                <c:pt idx="3">
                  <c:v>1.2923411187184197</c:v>
                </c:pt>
                <c:pt idx="4">
                  <c:v>1.4211196054829964</c:v>
                </c:pt>
                <c:pt idx="5">
                  <c:v>1.6259327849256155</c:v>
                </c:pt>
                <c:pt idx="6">
                  <c:v>1.7125219285248556</c:v>
                </c:pt>
                <c:pt idx="7">
                  <c:v>1.688369276138034</c:v>
                </c:pt>
                <c:pt idx="8">
                  <c:v>1.5560364253920187</c:v>
                </c:pt>
                <c:pt idx="9">
                  <c:v>1.4038270954258361</c:v>
                </c:pt>
                <c:pt idx="10">
                  <c:v>1.2619181379357305</c:v>
                </c:pt>
                <c:pt idx="11">
                  <c:v>1.1379103271608006</c:v>
                </c:pt>
              </c:numCache>
            </c:numRef>
          </c:yVal>
          <c:extLst xmlns:c16r2="http://schemas.microsoft.com/office/drawing/2015/06/chart">
            <c:ext xmlns:c16="http://schemas.microsoft.com/office/drawing/2014/chart" uri="{C3380CC4-5D6E-409C-BE32-E72D297353CC}">
              <c16:uniqueId val="{00000001-BD57-4B0C-B6D2-86078A0C6254}"/>
            </c:ext>
          </c:extLst>
        </c:ser>
        <c:ser>
          <c:idx val="2"/>
          <c:order val="2"/>
          <c:tx>
            <c:strRef>
              <c:f>'výpočet PT'!$BV$40</c:f>
              <c:strCache>
                <c:ptCount val="1"/>
                <c:pt idx="0">
                  <c:v>10</c:v>
                </c:pt>
              </c:strCache>
            </c:strRef>
          </c:tx>
          <c:marker>
            <c:symbol val="none"/>
          </c:marker>
          <c:xVal>
            <c:numRef>
              <c:f>'výpočet PT'!$BW$34:$CH$34</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PT'!$BW$40:$CH$40</c:f>
              <c:numCache>
                <c:formatCode>General</c:formatCode>
                <c:ptCount val="12"/>
                <c:pt idx="0">
                  <c:v>0.91250914582120679</c:v>
                </c:pt>
                <c:pt idx="1">
                  <c:v>1.3014917229834719</c:v>
                </c:pt>
                <c:pt idx="2">
                  <c:v>1.5564880027776336</c:v>
                </c:pt>
                <c:pt idx="3">
                  <c:v>1.7341938999281152</c:v>
                </c:pt>
                <c:pt idx="4">
                  <c:v>1.8593434456630973</c:v>
                </c:pt>
                <c:pt idx="5">
                  <c:v>2.0203245791045208</c:v>
                </c:pt>
                <c:pt idx="6">
                  <c:v>2.0454461907527981</c:v>
                </c:pt>
                <c:pt idx="7">
                  <c:v>1.9092656062001616</c:v>
                </c:pt>
                <c:pt idx="8">
                  <c:v>1.7010985254600766</c:v>
                </c:pt>
                <c:pt idx="9">
                  <c:v>1.5017228701068066</c:v>
                </c:pt>
                <c:pt idx="10">
                  <c:v>1.3303736700326718</c:v>
                </c:pt>
                <c:pt idx="11">
                  <c:v>1.1874493318623984</c:v>
                </c:pt>
              </c:numCache>
            </c:numRef>
          </c:yVal>
          <c:extLst xmlns:c16r2="http://schemas.microsoft.com/office/drawing/2015/06/chart">
            <c:ext xmlns:c16="http://schemas.microsoft.com/office/drawing/2014/chart" uri="{C3380CC4-5D6E-409C-BE32-E72D297353CC}">
              <c16:uniqueId val="{00000002-BD57-4B0C-B6D2-86078A0C6254}"/>
            </c:ext>
          </c:extLst>
        </c:ser>
        <c:ser>
          <c:idx val="3"/>
          <c:order val="3"/>
          <c:tx>
            <c:strRef>
              <c:f>'výpočet PT'!$BV$41</c:f>
              <c:strCache>
                <c:ptCount val="1"/>
                <c:pt idx="0">
                  <c:v>15</c:v>
                </c:pt>
              </c:strCache>
            </c:strRef>
          </c:tx>
          <c:marker>
            <c:symbol val="none"/>
          </c:marker>
          <c:xVal>
            <c:numRef>
              <c:f>'výpočet PT'!$BW$34:$CH$34</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PT'!$BW$41:$CH$41</c:f>
              <c:numCache>
                <c:formatCode>General</c:formatCode>
                <c:ptCount val="12"/>
                <c:pt idx="0">
                  <c:v>1.1305671249515745</c:v>
                </c:pt>
                <c:pt idx="1">
                  <c:v>1.5633958083731103</c:v>
                </c:pt>
                <c:pt idx="2">
                  <c:v>1.8263579033193236</c:v>
                </c:pt>
                <c:pt idx="3">
                  <c:v>1.9982971369995361</c:v>
                </c:pt>
                <c:pt idx="4">
                  <c:v>2.1112772144321332</c:v>
                </c:pt>
                <c:pt idx="5">
                  <c:v>2.2316319606861663</c:v>
                </c:pt>
                <c:pt idx="6">
                  <c:v>2.2153856200164488</c:v>
                </c:pt>
                <c:pt idx="7">
                  <c:v>2.0152785909355515</c:v>
                </c:pt>
                <c:pt idx="8">
                  <c:v>1.768269356867356</c:v>
                </c:pt>
                <c:pt idx="9">
                  <c:v>1.5460567762884387</c:v>
                </c:pt>
                <c:pt idx="10">
                  <c:v>1.3609246195045572</c:v>
                </c:pt>
                <c:pt idx="11">
                  <c:v>1.2093354220092432</c:v>
                </c:pt>
              </c:numCache>
            </c:numRef>
          </c:yVal>
          <c:extLst xmlns:c16r2="http://schemas.microsoft.com/office/drawing/2015/06/chart">
            <c:ext xmlns:c16="http://schemas.microsoft.com/office/drawing/2014/chart" uri="{C3380CC4-5D6E-409C-BE32-E72D297353CC}">
              <c16:uniqueId val="{00000003-BD57-4B0C-B6D2-86078A0C6254}"/>
            </c:ext>
          </c:extLst>
        </c:ser>
        <c:ser>
          <c:idx val="4"/>
          <c:order val="4"/>
          <c:tx>
            <c:strRef>
              <c:f>'výpočet PT'!$BV$42</c:f>
              <c:strCache>
                <c:ptCount val="1"/>
                <c:pt idx="0">
                  <c:v>20pr13 ch</c:v>
                </c:pt>
              </c:strCache>
            </c:strRef>
          </c:tx>
          <c:marker>
            <c:symbol val="none"/>
          </c:marker>
          <c:xVal>
            <c:numRef>
              <c:f>'výpočet PT'!$BW$34:$CH$34</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PT'!$BW$42:$CH$42</c:f>
              <c:numCache>
                <c:formatCode>General</c:formatCode>
                <c:ptCount val="12"/>
                <c:pt idx="0">
                  <c:v>1.3037890438397179</c:v>
                </c:pt>
                <c:pt idx="1">
                  <c:v>1.7572713444817762</c:v>
                </c:pt>
                <c:pt idx="2">
                  <c:v>2.0179782090832359</c:v>
                </c:pt>
                <c:pt idx="3">
                  <c:v>2.1805472322301904</c:v>
                </c:pt>
                <c:pt idx="4">
                  <c:v>2.2814416613172388</c:v>
                </c:pt>
                <c:pt idx="5">
                  <c:v>2.3691293747556159</c:v>
                </c:pt>
                <c:pt idx="6">
                  <c:v>2.3232614797985365</c:v>
                </c:pt>
                <c:pt idx="7">
                  <c:v>2.0805417272843112</c:v>
                </c:pt>
                <c:pt idx="8">
                  <c:v>1.8089055642245297</c:v>
                </c:pt>
                <c:pt idx="9">
                  <c:v>1.5725914009354112</c:v>
                </c:pt>
                <c:pt idx="10">
                  <c:v>1.3790821336119088</c:v>
                </c:pt>
                <c:pt idx="11">
                  <c:v>1.2222804388591308</c:v>
                </c:pt>
              </c:numCache>
            </c:numRef>
          </c:yVal>
          <c:extLst xmlns:c16r2="http://schemas.microsoft.com/office/drawing/2015/06/chart">
            <c:ext xmlns:c16="http://schemas.microsoft.com/office/drawing/2014/chart" uri="{C3380CC4-5D6E-409C-BE32-E72D297353CC}">
              <c16:uniqueId val="{00000004-BD57-4B0C-B6D2-86078A0C6254}"/>
            </c:ext>
          </c:extLst>
        </c:ser>
        <c:axId val="156230400"/>
        <c:axId val="156231936"/>
      </c:scatterChart>
      <c:valAx>
        <c:axId val="156230400"/>
        <c:scaling>
          <c:orientation val="minMax"/>
          <c:max val="0.5"/>
        </c:scaling>
        <c:axPos val="b"/>
        <c:majorGridlines/>
        <c:numFmt formatCode="General" sourceLinked="1"/>
        <c:tickLblPos val="nextTo"/>
        <c:crossAx val="156231936"/>
        <c:crosses val="autoZero"/>
        <c:crossBetween val="midCat"/>
        <c:majorUnit val="0.05"/>
      </c:valAx>
      <c:valAx>
        <c:axId val="156231936"/>
        <c:scaling>
          <c:orientation val="minMax"/>
        </c:scaling>
        <c:axPos val="l"/>
        <c:majorGridlines/>
        <c:numFmt formatCode="General" sourceLinked="1"/>
        <c:tickLblPos val="nextTo"/>
        <c:crossAx val="156230400"/>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PT'!$AT$38</c:f>
              <c:strCache>
                <c:ptCount val="1"/>
                <c:pt idx="0">
                  <c:v>20pr13</c:v>
                </c:pt>
              </c:strCache>
            </c:strRef>
          </c:tx>
          <c:marker>
            <c:symbol val="none"/>
          </c:marker>
          <c:xVal>
            <c:numRef>
              <c:f>'výpočet PT'!$AU$34:$BD$34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PT'!$AU$38:$BD$38</c:f>
              <c:numCache>
                <c:formatCode>General</c:formatCode>
                <c:ptCount val="10"/>
                <c:pt idx="0">
                  <c:v>5.1236276491493156</c:v>
                </c:pt>
                <c:pt idx="1">
                  <c:v>5.480201723179305</c:v>
                </c:pt>
                <c:pt idx="2">
                  <c:v>5.5365823984421771</c:v>
                </c:pt>
                <c:pt idx="3">
                  <c:v>5.4629550029231329</c:v>
                </c:pt>
                <c:pt idx="4">
                  <c:v>5.3158815180697312</c:v>
                </c:pt>
                <c:pt idx="5">
                  <c:v>4.8029373778382221</c:v>
                </c:pt>
                <c:pt idx="6">
                  <c:v>4.2529319735887183</c:v>
                </c:pt>
                <c:pt idx="7">
                  <c:v>3.3319893172433455</c:v>
                </c:pt>
                <c:pt idx="8">
                  <c:v>2.6826491416595277</c:v>
                </c:pt>
                <c:pt idx="9">
                  <c:v>2.2262072337530543</c:v>
                </c:pt>
              </c:numCache>
            </c:numRef>
          </c:yVal>
          <c:extLst xmlns:c16r2="http://schemas.microsoft.com/office/drawing/2015/06/chart">
            <c:ext xmlns:c16="http://schemas.microsoft.com/office/drawing/2014/chart" uri="{C3380CC4-5D6E-409C-BE32-E72D297353CC}">
              <c16:uniqueId val="{00000000-8F1B-4626-8B09-399CF9E08949}"/>
            </c:ext>
          </c:extLst>
        </c:ser>
        <c:ser>
          <c:idx val="1"/>
          <c:order val="1"/>
          <c:tx>
            <c:strRef>
              <c:f>'výpočet PT'!$AT$39</c:f>
              <c:strCache>
                <c:ptCount val="1"/>
                <c:pt idx="0">
                  <c:v>5 pr13 ch</c:v>
                </c:pt>
              </c:strCache>
            </c:strRef>
          </c:tx>
          <c:marker>
            <c:symbol val="none"/>
          </c:marker>
          <c:xVal>
            <c:numRef>
              <c:f>'výpočet PT'!$AU$34:$BD$34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PT'!$AU$39:$BD$39</c:f>
              <c:numCache>
                <c:formatCode>General</c:formatCode>
                <c:ptCount val="10"/>
                <c:pt idx="0">
                  <c:v>2.8393545950962951</c:v>
                </c:pt>
                <c:pt idx="1">
                  <c:v>3.1356750445764279</c:v>
                </c:pt>
                <c:pt idx="2">
                  <c:v>3.2400479300500109</c:v>
                </c:pt>
                <c:pt idx="3">
                  <c:v>3.2655082600712637</c:v>
                </c:pt>
                <c:pt idx="4">
                  <c:v>3.2456093273012323</c:v>
                </c:pt>
                <c:pt idx="5">
                  <c:v>3.0867938011074538</c:v>
                </c:pt>
                <c:pt idx="6">
                  <c:v>2.8576925962713413</c:v>
                </c:pt>
                <c:pt idx="7">
                  <c:v>2.3842700856445367</c:v>
                </c:pt>
                <c:pt idx="8">
                  <c:v>1.9915874000490941</c:v>
                </c:pt>
                <c:pt idx="9">
                  <c:v>1.6894040172562326</c:v>
                </c:pt>
              </c:numCache>
            </c:numRef>
          </c:yVal>
          <c:extLst xmlns:c16r2="http://schemas.microsoft.com/office/drawing/2015/06/chart">
            <c:ext xmlns:c16="http://schemas.microsoft.com/office/drawing/2014/chart" uri="{C3380CC4-5D6E-409C-BE32-E72D297353CC}">
              <c16:uniqueId val="{00000001-8F1B-4626-8B09-399CF9E08949}"/>
            </c:ext>
          </c:extLst>
        </c:ser>
        <c:ser>
          <c:idx val="2"/>
          <c:order val="2"/>
          <c:tx>
            <c:strRef>
              <c:f>'výpočet PT'!$AT$40</c:f>
              <c:strCache>
                <c:ptCount val="1"/>
                <c:pt idx="0">
                  <c:v>10</c:v>
                </c:pt>
              </c:strCache>
            </c:strRef>
          </c:tx>
          <c:marker>
            <c:symbol val="none"/>
          </c:marker>
          <c:xVal>
            <c:numRef>
              <c:f>'výpočet PT'!$AU$34:$BD$34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PT'!$AU$40:$BD$40</c:f>
              <c:numCache>
                <c:formatCode>General</c:formatCode>
                <c:ptCount val="10"/>
                <c:pt idx="0">
                  <c:v>3.1607768216618983</c:v>
                </c:pt>
                <c:pt idx="1">
                  <c:v>3.3756537640543294</c:v>
                </c:pt>
                <c:pt idx="2">
                  <c:v>3.4344826829260438</c:v>
                </c:pt>
                <c:pt idx="3">
                  <c:v>3.4285082242332789</c:v>
                </c:pt>
                <c:pt idx="4">
                  <c:v>3.3845882556447533</c:v>
                </c:pt>
                <c:pt idx="5">
                  <c:v>3.1833066978046038</c:v>
                </c:pt>
                <c:pt idx="6">
                  <c:v>2.9264300772507639</c:v>
                </c:pt>
                <c:pt idx="7">
                  <c:v>2.4212808233485137</c:v>
                </c:pt>
                <c:pt idx="8">
                  <c:v>2.0131852224351401</c:v>
                </c:pt>
                <c:pt idx="9">
                  <c:v>1.7029622473023498</c:v>
                </c:pt>
              </c:numCache>
            </c:numRef>
          </c:yVal>
          <c:extLst xmlns:c16r2="http://schemas.microsoft.com/office/drawing/2015/06/chart">
            <c:ext xmlns:c16="http://schemas.microsoft.com/office/drawing/2014/chart" uri="{C3380CC4-5D6E-409C-BE32-E72D297353CC}">
              <c16:uniqueId val="{00000002-8F1B-4626-8B09-399CF9E08949}"/>
            </c:ext>
          </c:extLst>
        </c:ser>
        <c:ser>
          <c:idx val="3"/>
          <c:order val="3"/>
          <c:tx>
            <c:strRef>
              <c:f>'výpočet PT'!$AT$41</c:f>
              <c:strCache>
                <c:ptCount val="1"/>
                <c:pt idx="0">
                  <c:v>15</c:v>
                </c:pt>
              </c:strCache>
            </c:strRef>
          </c:tx>
          <c:marker>
            <c:symbol val="none"/>
          </c:marker>
          <c:xVal>
            <c:numRef>
              <c:f>'výpočet PT'!$AU$34:$BD$34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PT'!$AU$41:$BD$41</c:f>
              <c:numCache>
                <c:formatCode>General</c:formatCode>
                <c:ptCount val="10"/>
                <c:pt idx="0">
                  <c:v>3.3124614230281719</c:v>
                </c:pt>
                <c:pt idx="1">
                  <c:v>3.4850332364284831</c:v>
                </c:pt>
                <c:pt idx="2">
                  <c:v>3.5217304934625728</c:v>
                </c:pt>
                <c:pt idx="3">
                  <c:v>3.5009562350424179</c:v>
                </c:pt>
                <c:pt idx="4">
                  <c:v>3.445947030723659</c:v>
                </c:pt>
                <c:pt idx="5">
                  <c:v>3.2254540629421693</c:v>
                </c:pt>
                <c:pt idx="6">
                  <c:v>2.956243790731627</c:v>
                </c:pt>
                <c:pt idx="7">
                  <c:v>2.4372045067317321</c:v>
                </c:pt>
                <c:pt idx="8">
                  <c:v>2.0224364856335177</c:v>
                </c:pt>
                <c:pt idx="9">
                  <c:v>1.7087543152675067</c:v>
                </c:pt>
              </c:numCache>
            </c:numRef>
          </c:yVal>
          <c:extLst xmlns:c16r2="http://schemas.microsoft.com/office/drawing/2015/06/chart">
            <c:ext xmlns:c16="http://schemas.microsoft.com/office/drawing/2014/chart" uri="{C3380CC4-5D6E-409C-BE32-E72D297353CC}">
              <c16:uniqueId val="{00000003-8F1B-4626-8B09-399CF9E08949}"/>
            </c:ext>
          </c:extLst>
        </c:ser>
        <c:ser>
          <c:idx val="4"/>
          <c:order val="4"/>
          <c:tx>
            <c:strRef>
              <c:f>'výpočet PT'!$AT$42</c:f>
              <c:strCache>
                <c:ptCount val="1"/>
                <c:pt idx="0">
                  <c:v>20pr13</c:v>
                </c:pt>
              </c:strCache>
            </c:strRef>
          </c:tx>
          <c:marker>
            <c:symbol val="none"/>
          </c:marker>
          <c:xVal>
            <c:numRef>
              <c:f>'výpočet PT'!$AU$34:$BD$34</c:f>
              <c:numCache>
                <c:formatCode>General</c:formatCode>
                <c:ptCount val="10"/>
                <c:pt idx="0">
                  <c:v>0.02</c:v>
                </c:pt>
                <c:pt idx="1">
                  <c:v>0.04</c:v>
                </c:pt>
                <c:pt idx="2">
                  <c:v>0.06</c:v>
                </c:pt>
                <c:pt idx="3">
                  <c:v>0.08</c:v>
                </c:pt>
                <c:pt idx="4">
                  <c:v>0.1</c:v>
                </c:pt>
                <c:pt idx="5">
                  <c:v>0.15</c:v>
                </c:pt>
                <c:pt idx="6">
                  <c:v>0.2</c:v>
                </c:pt>
                <c:pt idx="7">
                  <c:v>0.3</c:v>
                </c:pt>
                <c:pt idx="8">
                  <c:v>0.4</c:v>
                </c:pt>
                <c:pt idx="9">
                  <c:v>0.5</c:v>
                </c:pt>
              </c:numCache>
            </c:numRef>
          </c:xVal>
          <c:yVal>
            <c:numRef>
              <c:f>'výpočet PT'!$AU$42:$BD$42</c:f>
              <c:numCache>
                <c:formatCode>General</c:formatCode>
                <c:ptCount val="10"/>
                <c:pt idx="0">
                  <c:v>3.4050754363677505</c:v>
                </c:pt>
                <c:pt idx="1">
                  <c:v>3.5507013975142412</c:v>
                </c:pt>
                <c:pt idx="2">
                  <c:v>3.5737201978879911</c:v>
                </c:pt>
                <c:pt idx="3">
                  <c:v>3.5439305831581409</c:v>
                </c:pt>
                <c:pt idx="4">
                  <c:v>3.4822273805781245</c:v>
                </c:pt>
                <c:pt idx="5">
                  <c:v>3.2502459929332073</c:v>
                </c:pt>
                <c:pt idx="6">
                  <c:v>2.9737241887850359</c:v>
                </c:pt>
                <c:pt idx="7">
                  <c:v>2.4465052991195266</c:v>
                </c:pt>
                <c:pt idx="8">
                  <c:v>2.0278287189615063</c:v>
                </c:pt>
                <c:pt idx="9">
                  <c:v>1.7121260543633883</c:v>
                </c:pt>
              </c:numCache>
            </c:numRef>
          </c:yVal>
          <c:extLst xmlns:c16r2="http://schemas.microsoft.com/office/drawing/2015/06/chart">
            <c:ext xmlns:c16="http://schemas.microsoft.com/office/drawing/2014/chart" uri="{C3380CC4-5D6E-409C-BE32-E72D297353CC}">
              <c16:uniqueId val="{00000004-8F1B-4626-8B09-399CF9E08949}"/>
            </c:ext>
          </c:extLst>
        </c:ser>
        <c:axId val="156275456"/>
        <c:axId val="156276992"/>
      </c:scatterChart>
      <c:valAx>
        <c:axId val="156275456"/>
        <c:scaling>
          <c:orientation val="minMax"/>
          <c:max val="0.5"/>
        </c:scaling>
        <c:axPos val="b"/>
        <c:majorGridlines/>
        <c:numFmt formatCode="General" sourceLinked="1"/>
        <c:tickLblPos val="nextTo"/>
        <c:crossAx val="156276992"/>
        <c:crosses val="autoZero"/>
        <c:crossBetween val="midCat"/>
        <c:majorUnit val="0.05"/>
      </c:valAx>
      <c:valAx>
        <c:axId val="156276992"/>
        <c:scaling>
          <c:orientation val="minMax"/>
        </c:scaling>
        <c:axPos val="l"/>
        <c:majorGridlines/>
        <c:numFmt formatCode="General" sourceLinked="1"/>
        <c:tickLblPos val="nextTo"/>
        <c:crossAx val="15627545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Topení trubka světlost 13 mm, tlak 10 kPa. Závislost  W/m2K  na ploše 8 - 30 m2</a:t>
            </a:r>
          </a:p>
        </c:rich>
      </c:tx>
    </c:title>
    <c:plotArea>
      <c:layout/>
      <c:scatterChart>
        <c:scatterStyle val="lineMarker"/>
        <c:ser>
          <c:idx val="0"/>
          <c:order val="0"/>
          <c:tx>
            <c:strRef>
              <c:f>'výpočet PT'!$AT$56</c:f>
              <c:strCache>
                <c:ptCount val="1"/>
                <c:pt idx="0">
                  <c:v>0,1</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PT'!$AU$56:$BF$56</c:f>
              <c:numCache>
                <c:formatCode>General</c:formatCode>
                <c:ptCount val="12"/>
                <c:pt idx="0">
                  <c:v>5.0140786892899261</c:v>
                </c:pt>
                <c:pt idx="1">
                  <c:v>4.7169028891084022</c:v>
                </c:pt>
                <c:pt idx="2">
                  <c:v>4.4114321917992418</c:v>
                </c:pt>
                <c:pt idx="3">
                  <c:v>4.106131549249004</c:v>
                </c:pt>
                <c:pt idx="4">
                  <c:v>3.807449335973152</c:v>
                </c:pt>
                <c:pt idx="5">
                  <c:v>3.5201346970113589</c:v>
                </c:pt>
                <c:pt idx="6">
                  <c:v>3.24750634005632</c:v>
                </c:pt>
                <c:pt idx="7">
                  <c:v>2.9916959998965811</c:v>
                </c:pt>
                <c:pt idx="8">
                  <c:v>2.7538717313501828</c:v>
                </c:pt>
                <c:pt idx="9">
                  <c:v>2.5344403062821357</c:v>
                </c:pt>
                <c:pt idx="10">
                  <c:v>2.3332267679205598</c:v>
                </c:pt>
                <c:pt idx="11">
                  <c:v>2.1496297474110215</c:v>
                </c:pt>
              </c:numCache>
            </c:numRef>
          </c:yVal>
          <c:extLst xmlns:c16r2="http://schemas.microsoft.com/office/drawing/2015/06/chart">
            <c:ext xmlns:c16="http://schemas.microsoft.com/office/drawing/2014/chart" uri="{C3380CC4-5D6E-409C-BE32-E72D297353CC}">
              <c16:uniqueId val="{00000000-19C8-4EA5-93B3-332AD1BAC300}"/>
            </c:ext>
          </c:extLst>
        </c:ser>
        <c:ser>
          <c:idx val="1"/>
          <c:order val="1"/>
          <c:tx>
            <c:strRef>
              <c:f>'výpočet PT'!$AT$57</c:f>
              <c:strCache>
                <c:ptCount val="1"/>
                <c:pt idx="0">
                  <c:v>0,15</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PT'!$AU$57:$BF$57</c:f>
              <c:numCache>
                <c:formatCode>General</c:formatCode>
                <c:ptCount val="12"/>
                <c:pt idx="0">
                  <c:v>4.6092342232847425</c:v>
                </c:pt>
                <c:pt idx="1">
                  <c:v>4.4137792010709802</c:v>
                </c:pt>
                <c:pt idx="2">
                  <c:v>4.2075260187196752</c:v>
                </c:pt>
                <c:pt idx="3">
                  <c:v>3.9954312962052838</c:v>
                </c:pt>
                <c:pt idx="4">
                  <c:v>3.7815510436348427</c:v>
                </c:pt>
                <c:pt idx="5">
                  <c:v>3.5691799322477542</c:v>
                </c:pt>
                <c:pt idx="6">
                  <c:v>3.3609513473424579</c:v>
                </c:pt>
                <c:pt idx="7">
                  <c:v>3.1589199752574384</c:v>
                </c:pt>
                <c:pt idx="8">
                  <c:v>2.9646356659256337</c:v>
                </c:pt>
                <c:pt idx="9">
                  <c:v>2.7792118970823561</c:v>
                </c:pt>
                <c:pt idx="10">
                  <c:v>2.6033898221436922</c:v>
                </c:pt>
                <c:pt idx="11">
                  <c:v>2.4375979060032247</c:v>
                </c:pt>
              </c:numCache>
            </c:numRef>
          </c:yVal>
          <c:extLst xmlns:c16r2="http://schemas.microsoft.com/office/drawing/2015/06/chart">
            <c:ext xmlns:c16="http://schemas.microsoft.com/office/drawing/2014/chart" uri="{C3380CC4-5D6E-409C-BE32-E72D297353CC}">
              <c16:uniqueId val="{00000001-19C8-4EA5-93B3-332AD1BAC300}"/>
            </c:ext>
          </c:extLst>
        </c:ser>
        <c:ser>
          <c:idx val="2"/>
          <c:order val="2"/>
          <c:tx>
            <c:strRef>
              <c:f>'výpočet PT'!$AT$58</c:f>
              <c:strCache>
                <c:ptCount val="1"/>
                <c:pt idx="0">
                  <c:v>0,2</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PT'!$AU$58:$BF$58</c:f>
              <c:numCache>
                <c:formatCode>General</c:formatCode>
                <c:ptCount val="12"/>
                <c:pt idx="0">
                  <c:v>4.1248016174903652</c:v>
                </c:pt>
                <c:pt idx="1">
                  <c:v>3.9935779579201318</c:v>
                </c:pt>
                <c:pt idx="2">
                  <c:v>3.8528647328494228</c:v>
                </c:pt>
                <c:pt idx="3">
                  <c:v>3.7056043221888051</c:v>
                </c:pt>
                <c:pt idx="4">
                  <c:v>3.5542803479740797</c:v>
                </c:pt>
                <c:pt idx="5">
                  <c:v>3.4009994621507333</c:v>
                </c:pt>
                <c:pt idx="6">
                  <c:v>3.2475431478725696</c:v>
                </c:pt>
                <c:pt idx="7">
                  <c:v>3.0954052826940353</c:v>
                </c:pt>
                <c:pt idx="8">
                  <c:v>2.9458225721333098</c:v>
                </c:pt>
                <c:pt idx="9">
                  <c:v>2.7998012101165699</c:v>
                </c:pt>
                <c:pt idx="10">
                  <c:v>2.6581413514901877</c:v>
                </c:pt>
                <c:pt idx="11">
                  <c:v>2.5214601025729055</c:v>
                </c:pt>
              </c:numCache>
            </c:numRef>
          </c:yVal>
          <c:extLst xmlns:c16r2="http://schemas.microsoft.com/office/drawing/2015/06/chart">
            <c:ext xmlns:c16="http://schemas.microsoft.com/office/drawing/2014/chart" uri="{C3380CC4-5D6E-409C-BE32-E72D297353CC}">
              <c16:uniqueId val="{00000002-19C8-4EA5-93B3-332AD1BAC300}"/>
            </c:ext>
          </c:extLst>
        </c:ser>
        <c:ser>
          <c:idx val="3"/>
          <c:order val="3"/>
          <c:tx>
            <c:strRef>
              <c:f>'výpočet PT'!$AT$59</c:f>
              <c:strCache>
                <c:ptCount val="1"/>
                <c:pt idx="0">
                  <c:v>0,25</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PT'!$AU$59:$BF$59</c:f>
              <c:numCache>
                <c:formatCode>General</c:formatCode>
                <c:ptCount val="12"/>
                <c:pt idx="0">
                  <c:v>3.6680385072101278</c:v>
                </c:pt>
                <c:pt idx="1">
                  <c:v>3.5774331791391409</c:v>
                </c:pt>
                <c:pt idx="2">
                  <c:v>3.4792407660877633</c:v>
                </c:pt>
                <c:pt idx="3">
                  <c:v>3.3752765678438874</c:v>
                </c:pt>
                <c:pt idx="4">
                  <c:v>3.26709357311386</c:v>
                </c:pt>
                <c:pt idx="5">
                  <c:v>3.1560372443843119</c:v>
                </c:pt>
                <c:pt idx="6">
                  <c:v>3.0432782987454696</c:v>
                </c:pt>
                <c:pt idx="7">
                  <c:v>2.9298345208390502</c:v>
                </c:pt>
                <c:pt idx="8">
                  <c:v>2.8165867877645856</c:v>
                </c:pt>
                <c:pt idx="9">
                  <c:v>2.7042919168233088</c:v>
                </c:pt>
                <c:pt idx="10">
                  <c:v>2.593593708916758</c:v>
                </c:pt>
                <c:pt idx="11">
                  <c:v>2.4850329215329126</c:v>
                </c:pt>
              </c:numCache>
            </c:numRef>
          </c:yVal>
          <c:extLst xmlns:c16r2="http://schemas.microsoft.com/office/drawing/2015/06/chart">
            <c:ext xmlns:c16="http://schemas.microsoft.com/office/drawing/2014/chart" uri="{C3380CC4-5D6E-409C-BE32-E72D297353CC}">
              <c16:uniqueId val="{00000003-19C8-4EA5-93B3-332AD1BAC300}"/>
            </c:ext>
          </c:extLst>
        </c:ser>
        <c:ser>
          <c:idx val="4"/>
          <c:order val="4"/>
          <c:tx>
            <c:strRef>
              <c:f>'výpočet PT'!$AT$60</c:f>
              <c:strCache>
                <c:ptCount val="1"/>
                <c:pt idx="0">
                  <c:v>0,3</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PT'!$AU$60:$BF$60</c:f>
              <c:numCache>
                <c:formatCode>General</c:formatCode>
                <c:ptCount val="12"/>
                <c:pt idx="0">
                  <c:v>3.2700344843152984</c:v>
                </c:pt>
                <c:pt idx="1">
                  <c:v>3.2055279551970637</c:v>
                </c:pt>
                <c:pt idx="2">
                  <c:v>3.1351056105056219</c:v>
                </c:pt>
                <c:pt idx="3">
                  <c:v>3.0599394481946831</c:v>
                </c:pt>
                <c:pt idx="4">
                  <c:v>2.9810366568051858</c:v>
                </c:pt>
                <c:pt idx="5">
                  <c:v>2.8992786434488558</c:v>
                </c:pt>
                <c:pt idx="6">
                  <c:v>2.8154439546184289</c:v>
                </c:pt>
                <c:pt idx="7">
                  <c:v>2.7302229397911124</c:v>
                </c:pt>
                <c:pt idx="8">
                  <c:v>2.6442278999283948</c:v>
                </c:pt>
                <c:pt idx="9">
                  <c:v>2.5580006556898089</c:v>
                </c:pt>
                <c:pt idx="10">
                  <c:v>2.4720185941074133</c:v>
                </c:pt>
                <c:pt idx="11">
                  <c:v>2.386699795370558</c:v>
                </c:pt>
              </c:numCache>
            </c:numRef>
          </c:yVal>
          <c:extLst xmlns:c16r2="http://schemas.microsoft.com/office/drawing/2015/06/chart">
            <c:ext xmlns:c16="http://schemas.microsoft.com/office/drawing/2014/chart" uri="{C3380CC4-5D6E-409C-BE32-E72D297353CC}">
              <c16:uniqueId val="{00000004-19C8-4EA5-93B3-332AD1BAC300}"/>
            </c:ext>
          </c:extLst>
        </c:ser>
        <c:ser>
          <c:idx val="5"/>
          <c:order val="5"/>
          <c:tx>
            <c:strRef>
              <c:f>'výpočet PT'!$AT$61</c:f>
              <c:strCache>
                <c:ptCount val="1"/>
                <c:pt idx="0">
                  <c:v>0,4</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PT'!$AU$61:$BF$61</c:f>
              <c:numCache>
                <c:formatCode>General</c:formatCode>
                <c:ptCount val="12"/>
                <c:pt idx="0">
                  <c:v>2.6487141991255641</c:v>
                </c:pt>
                <c:pt idx="1">
                  <c:v>2.6130838088649662</c:v>
                </c:pt>
                <c:pt idx="2">
                  <c:v>2.5738283164635876</c:v>
                </c:pt>
                <c:pt idx="3">
                  <c:v>2.5315030262387572</c:v>
                </c:pt>
                <c:pt idx="4">
                  <c:v>2.4865837899022085</c:v>
                </c:pt>
                <c:pt idx="5">
                  <c:v>2.4394888983428729</c:v>
                </c:pt>
                <c:pt idx="6">
                  <c:v>2.3905919145123375</c:v>
                </c:pt>
                <c:pt idx="7">
                  <c:v>2.3402297415528128</c:v>
                </c:pt>
                <c:pt idx="8">
                  <c:v>2.2887079945731372</c:v>
                </c:pt>
                <c:pt idx="9">
                  <c:v>2.2363047635026585</c:v>
                </c:pt>
                <c:pt idx="10">
                  <c:v>2.1832733775745528</c:v>
                </c:pt>
                <c:pt idx="11">
                  <c:v>2.1298445319353325</c:v>
                </c:pt>
              </c:numCache>
            </c:numRef>
          </c:yVal>
          <c:extLst xmlns:c16r2="http://schemas.microsoft.com/office/drawing/2015/06/chart">
            <c:ext xmlns:c16="http://schemas.microsoft.com/office/drawing/2014/chart" uri="{C3380CC4-5D6E-409C-BE32-E72D297353CC}">
              <c16:uniqueId val="{00000005-19C8-4EA5-93B3-332AD1BAC300}"/>
            </c:ext>
          </c:extLst>
        </c:ser>
        <c:axId val="156407680"/>
        <c:axId val="156409216"/>
      </c:scatterChart>
      <c:valAx>
        <c:axId val="156407680"/>
        <c:scaling>
          <c:orientation val="minMax"/>
          <c:max val="30"/>
          <c:min val="5"/>
        </c:scaling>
        <c:axPos val="b"/>
        <c:majorGridlines/>
        <c:numFmt formatCode="General" sourceLinked="1"/>
        <c:tickLblPos val="nextTo"/>
        <c:crossAx val="156409216"/>
        <c:crosses val="autoZero"/>
        <c:crossBetween val="midCat"/>
      </c:valAx>
      <c:valAx>
        <c:axId val="156409216"/>
        <c:scaling>
          <c:orientation val="minMax"/>
        </c:scaling>
        <c:axPos val="l"/>
        <c:majorGridlines/>
        <c:numFmt formatCode="General" sourceLinked="1"/>
        <c:tickLblPos val="nextTo"/>
        <c:crossAx val="156407680"/>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10 kPa 13mm svetlost, měrný výkon W/m2K na rozteči.</a:t>
            </a:r>
          </a:p>
        </c:rich>
      </c:tx>
    </c:title>
    <c:plotArea>
      <c:layout/>
      <c:scatterChart>
        <c:scatterStyle val="lineMarker"/>
        <c:ser>
          <c:idx val="0"/>
          <c:order val="0"/>
          <c:tx>
            <c:strRef>
              <c:f>'výpočet PT'!$CJ$38</c:f>
              <c:strCache>
                <c:ptCount val="1"/>
                <c:pt idx="0">
                  <c:v>0,1</c:v>
                </c:pt>
              </c:strCache>
            </c:strRef>
          </c:tx>
          <c:marker>
            <c:symbol val="none"/>
          </c:marker>
          <c:xVal>
            <c:numRef>
              <c:f>'výpočet PT'!$CK$33:$CV$33</c:f>
              <c:numCache>
                <c:formatCode>General</c:formatCode>
                <c:ptCount val="12"/>
                <c:pt idx="0">
                  <c:v>10</c:v>
                </c:pt>
                <c:pt idx="1">
                  <c:v>20</c:v>
                </c:pt>
                <c:pt idx="2">
                  <c:v>30</c:v>
                </c:pt>
                <c:pt idx="3">
                  <c:v>50</c:v>
                </c:pt>
                <c:pt idx="4">
                  <c:v>70</c:v>
                </c:pt>
                <c:pt idx="5">
                  <c:v>90</c:v>
                </c:pt>
                <c:pt idx="6">
                  <c:v>110</c:v>
                </c:pt>
                <c:pt idx="7">
                  <c:v>130</c:v>
                </c:pt>
                <c:pt idx="8">
                  <c:v>150</c:v>
                </c:pt>
                <c:pt idx="9">
                  <c:v>170</c:v>
                </c:pt>
                <c:pt idx="10">
                  <c:v>190</c:v>
                </c:pt>
                <c:pt idx="11">
                  <c:v>210</c:v>
                </c:pt>
              </c:numCache>
            </c:numRef>
          </c:xVal>
          <c:yVal>
            <c:numRef>
              <c:f>'výpočet PT'!$CK$38:$CV$38</c:f>
              <c:numCache>
                <c:formatCode>General</c:formatCode>
                <c:ptCount val="12"/>
                <c:pt idx="0">
                  <c:v>5.7940486021306308</c:v>
                </c:pt>
                <c:pt idx="1">
                  <c:v>5.7279650449196504</c:v>
                </c:pt>
                <c:pt idx="2">
                  <c:v>5.6405020091548215</c:v>
                </c:pt>
                <c:pt idx="3">
                  <c:v>5.4195372468476917</c:v>
                </c:pt>
                <c:pt idx="4">
                  <c:v>5.156255883342256</c:v>
                </c:pt>
                <c:pt idx="5">
                  <c:v>4.8671460653618368</c:v>
                </c:pt>
                <c:pt idx="6">
                  <c:v>4.5646238201087215</c:v>
                </c:pt>
                <c:pt idx="7">
                  <c:v>4.2583143820007532</c:v>
                </c:pt>
                <c:pt idx="8">
                  <c:v>3.9556297925403059</c:v>
                </c:pt>
                <c:pt idx="9">
                  <c:v>3.6621330786859327</c:v>
                </c:pt>
                <c:pt idx="10">
                  <c:v>3.3818263943600253</c:v>
                </c:pt>
                <c:pt idx="11">
                  <c:v>3.1174058068802348</c:v>
                </c:pt>
              </c:numCache>
            </c:numRef>
          </c:yVal>
          <c:extLst xmlns:c16r2="http://schemas.microsoft.com/office/drawing/2015/06/chart">
            <c:ext xmlns:c16="http://schemas.microsoft.com/office/drawing/2014/chart" uri="{C3380CC4-5D6E-409C-BE32-E72D297353CC}">
              <c16:uniqueId val="{00000000-A1A2-41E1-8D3F-DD6FE6755858}"/>
            </c:ext>
          </c:extLst>
        </c:ser>
        <c:ser>
          <c:idx val="1"/>
          <c:order val="1"/>
          <c:tx>
            <c:strRef>
              <c:f>'výpočet PT'!$CJ$39</c:f>
              <c:strCache>
                <c:ptCount val="1"/>
                <c:pt idx="0">
                  <c:v>0,2</c:v>
                </c:pt>
              </c:strCache>
            </c:strRef>
          </c:tx>
          <c:marker>
            <c:symbol val="none"/>
          </c:marker>
          <c:xVal>
            <c:numRef>
              <c:f>'výpočet PT'!$CK$33:$CV$33</c:f>
              <c:numCache>
                <c:formatCode>General</c:formatCode>
                <c:ptCount val="12"/>
                <c:pt idx="0">
                  <c:v>10</c:v>
                </c:pt>
                <c:pt idx="1">
                  <c:v>20</c:v>
                </c:pt>
                <c:pt idx="2">
                  <c:v>30</c:v>
                </c:pt>
                <c:pt idx="3">
                  <c:v>50</c:v>
                </c:pt>
                <c:pt idx="4">
                  <c:v>70</c:v>
                </c:pt>
                <c:pt idx="5">
                  <c:v>90</c:v>
                </c:pt>
                <c:pt idx="6">
                  <c:v>110</c:v>
                </c:pt>
                <c:pt idx="7">
                  <c:v>130</c:v>
                </c:pt>
                <c:pt idx="8">
                  <c:v>150</c:v>
                </c:pt>
                <c:pt idx="9">
                  <c:v>170</c:v>
                </c:pt>
                <c:pt idx="10">
                  <c:v>190</c:v>
                </c:pt>
                <c:pt idx="11">
                  <c:v>210</c:v>
                </c:pt>
              </c:numCache>
            </c:numRef>
          </c:xVal>
          <c:yVal>
            <c:numRef>
              <c:f>'výpočet PT'!$CK$39:$CV$39</c:f>
              <c:numCache>
                <c:formatCode>General</c:formatCode>
                <c:ptCount val="12"/>
                <c:pt idx="0">
                  <c:v>4.4204128105291423</c:v>
                </c:pt>
                <c:pt idx="1">
                  <c:v>4.3436386058531484</c:v>
                </c:pt>
                <c:pt idx="2">
                  <c:v>4.2429844946773327</c:v>
                </c:pt>
                <c:pt idx="3">
                  <c:v>3.9935779579201318</c:v>
                </c:pt>
                <c:pt idx="4">
                  <c:v>3.7056043221888051</c:v>
                </c:pt>
                <c:pt idx="5">
                  <c:v>3.4009994621507333</c:v>
                </c:pt>
                <c:pt idx="6">
                  <c:v>3.0954052826940353</c:v>
                </c:pt>
                <c:pt idx="7">
                  <c:v>2.7998012101165699</c:v>
                </c:pt>
                <c:pt idx="8">
                  <c:v>2.5214601025729055</c:v>
                </c:pt>
                <c:pt idx="9">
                  <c:v>2.2647160633082746</c:v>
                </c:pt>
                <c:pt idx="10">
                  <c:v>2.0316423687965748</c:v>
                </c:pt>
                <c:pt idx="11">
                  <c:v>1.822648706374248</c:v>
                </c:pt>
              </c:numCache>
            </c:numRef>
          </c:yVal>
          <c:extLst xmlns:c16r2="http://schemas.microsoft.com/office/drawing/2015/06/chart">
            <c:ext xmlns:c16="http://schemas.microsoft.com/office/drawing/2014/chart" uri="{C3380CC4-5D6E-409C-BE32-E72D297353CC}">
              <c16:uniqueId val="{00000001-A1A2-41E1-8D3F-DD6FE6755858}"/>
            </c:ext>
          </c:extLst>
        </c:ser>
        <c:ser>
          <c:idx val="2"/>
          <c:order val="2"/>
          <c:tx>
            <c:strRef>
              <c:f>'výpočet PT'!$CJ$40</c:f>
              <c:strCache>
                <c:ptCount val="1"/>
                <c:pt idx="0">
                  <c:v>0,3</c:v>
                </c:pt>
              </c:strCache>
            </c:strRef>
          </c:tx>
          <c:marker>
            <c:symbol val="none"/>
          </c:marker>
          <c:xVal>
            <c:numRef>
              <c:f>'výpočet PT'!$CK$33:$CV$33</c:f>
              <c:numCache>
                <c:formatCode>General</c:formatCode>
                <c:ptCount val="12"/>
                <c:pt idx="0">
                  <c:v>10</c:v>
                </c:pt>
                <c:pt idx="1">
                  <c:v>20</c:v>
                </c:pt>
                <c:pt idx="2">
                  <c:v>30</c:v>
                </c:pt>
                <c:pt idx="3">
                  <c:v>50</c:v>
                </c:pt>
                <c:pt idx="4">
                  <c:v>70</c:v>
                </c:pt>
                <c:pt idx="5">
                  <c:v>90</c:v>
                </c:pt>
                <c:pt idx="6">
                  <c:v>110</c:v>
                </c:pt>
                <c:pt idx="7">
                  <c:v>130</c:v>
                </c:pt>
                <c:pt idx="8">
                  <c:v>150</c:v>
                </c:pt>
                <c:pt idx="9">
                  <c:v>170</c:v>
                </c:pt>
                <c:pt idx="10">
                  <c:v>190</c:v>
                </c:pt>
                <c:pt idx="11">
                  <c:v>210</c:v>
                </c:pt>
              </c:numCache>
            </c:numRef>
          </c:xVal>
          <c:yVal>
            <c:numRef>
              <c:f>'výpočet PT'!$CK$40:$CV$40</c:f>
              <c:numCache>
                <c:formatCode>General</c:formatCode>
                <c:ptCount val="12"/>
                <c:pt idx="0">
                  <c:v>3.39508801614482</c:v>
                </c:pt>
                <c:pt idx="1">
                  <c:v>3.3272147469204332</c:v>
                </c:pt>
                <c:pt idx="2">
                  <c:v>3.2386020176719112</c:v>
                </c:pt>
                <c:pt idx="3">
                  <c:v>3.0208974169931597</c:v>
                </c:pt>
                <c:pt idx="4">
                  <c:v>2.772966737946716</c:v>
                </c:pt>
                <c:pt idx="5">
                  <c:v>2.5149515126158608</c:v>
                </c:pt>
                <c:pt idx="6">
                  <c:v>2.2607460639991004</c:v>
                </c:pt>
                <c:pt idx="7">
                  <c:v>2.0195743234191457</c:v>
                </c:pt>
                <c:pt idx="8">
                  <c:v>1.7970184613397082</c:v>
                </c:pt>
                <c:pt idx="9">
                  <c:v>1.5958826445717309</c:v>
                </c:pt>
                <c:pt idx="10">
                  <c:v>1.4169487489955075</c:v>
                </c:pt>
                <c:pt idx="11">
                  <c:v>1.2596180126177647</c:v>
                </c:pt>
              </c:numCache>
            </c:numRef>
          </c:yVal>
          <c:extLst xmlns:c16r2="http://schemas.microsoft.com/office/drawing/2015/06/chart">
            <c:ext xmlns:c16="http://schemas.microsoft.com/office/drawing/2014/chart" uri="{C3380CC4-5D6E-409C-BE32-E72D297353CC}">
              <c16:uniqueId val="{00000002-A1A2-41E1-8D3F-DD6FE6755858}"/>
            </c:ext>
          </c:extLst>
        </c:ser>
        <c:ser>
          <c:idx val="3"/>
          <c:order val="3"/>
          <c:tx>
            <c:strRef>
              <c:f>'výpočet PT'!$CJ$41</c:f>
              <c:strCache>
                <c:ptCount val="1"/>
                <c:pt idx="0">
                  <c:v>0,4</c:v>
                </c:pt>
              </c:strCache>
            </c:strRef>
          </c:tx>
          <c:marker>
            <c:symbol val="none"/>
          </c:marker>
          <c:xVal>
            <c:numRef>
              <c:f>'výpočet PT'!$CK$33:$CV$33</c:f>
              <c:numCache>
                <c:formatCode>General</c:formatCode>
                <c:ptCount val="12"/>
                <c:pt idx="0">
                  <c:v>10</c:v>
                </c:pt>
                <c:pt idx="1">
                  <c:v>20</c:v>
                </c:pt>
                <c:pt idx="2">
                  <c:v>30</c:v>
                </c:pt>
                <c:pt idx="3">
                  <c:v>50</c:v>
                </c:pt>
                <c:pt idx="4">
                  <c:v>70</c:v>
                </c:pt>
                <c:pt idx="5">
                  <c:v>90</c:v>
                </c:pt>
                <c:pt idx="6">
                  <c:v>110</c:v>
                </c:pt>
                <c:pt idx="7">
                  <c:v>130</c:v>
                </c:pt>
                <c:pt idx="8">
                  <c:v>150</c:v>
                </c:pt>
                <c:pt idx="9">
                  <c:v>170</c:v>
                </c:pt>
                <c:pt idx="10">
                  <c:v>190</c:v>
                </c:pt>
                <c:pt idx="11">
                  <c:v>210</c:v>
                </c:pt>
              </c:numCache>
            </c:numRef>
          </c:xVal>
          <c:yVal>
            <c:numRef>
              <c:f>'výpočet PT'!$CK$41:$CV$41</c:f>
              <c:numCache>
                <c:formatCode>General</c:formatCode>
                <c:ptCount val="12"/>
                <c:pt idx="0">
                  <c:v>2.7061878001108126</c:v>
                </c:pt>
                <c:pt idx="1">
                  <c:v>2.6487141991255641</c:v>
                </c:pt>
                <c:pt idx="2">
                  <c:v>2.5738283164635876</c:v>
                </c:pt>
                <c:pt idx="3">
                  <c:v>2.3905919145123375</c:v>
                </c:pt>
                <c:pt idx="4">
                  <c:v>2.1832733775745528</c:v>
                </c:pt>
                <c:pt idx="5">
                  <c:v>1.9691747384009142</c:v>
                </c:pt>
                <c:pt idx="6">
                  <c:v>1.7600262471936075</c:v>
                </c:pt>
                <c:pt idx="7">
                  <c:v>1.5633906187677447</c:v>
                </c:pt>
                <c:pt idx="8">
                  <c:v>1.3836194810929441</c:v>
                </c:pt>
                <c:pt idx="9">
                  <c:v>1.2226650055046817</c:v>
                </c:pt>
                <c:pt idx="10">
                  <c:v>1.0807826459166585</c:v>
                </c:pt>
                <c:pt idx="11">
                  <c:v>0.95711559046353811</c:v>
                </c:pt>
              </c:numCache>
            </c:numRef>
          </c:yVal>
          <c:extLst xmlns:c16r2="http://schemas.microsoft.com/office/drawing/2015/06/chart">
            <c:ext xmlns:c16="http://schemas.microsoft.com/office/drawing/2014/chart" uri="{C3380CC4-5D6E-409C-BE32-E72D297353CC}">
              <c16:uniqueId val="{00000003-A1A2-41E1-8D3F-DD6FE6755858}"/>
            </c:ext>
          </c:extLst>
        </c:ser>
        <c:axId val="156329472"/>
        <c:axId val="156331008"/>
      </c:scatterChart>
      <c:valAx>
        <c:axId val="156329472"/>
        <c:scaling>
          <c:orientation val="minMax"/>
          <c:max val="200"/>
        </c:scaling>
        <c:axPos val="b"/>
        <c:majorGridlines/>
        <c:numFmt formatCode="General" sourceLinked="1"/>
        <c:tickLblPos val="nextTo"/>
        <c:crossAx val="156331008"/>
        <c:crosses val="autoZero"/>
        <c:crossBetween val="midCat"/>
        <c:majorUnit val="20"/>
      </c:valAx>
      <c:valAx>
        <c:axId val="156331008"/>
        <c:scaling>
          <c:orientation val="minMax"/>
        </c:scaling>
        <c:axPos val="l"/>
        <c:majorGridlines/>
        <c:numFmt formatCode="General" sourceLinked="1"/>
        <c:tickLblPos val="nextTo"/>
        <c:crossAx val="15632947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marker>
            <c:symbol val="none"/>
          </c:marker>
          <c:val>
            <c:numRef>
              <c:f>'10 těles'!$BJ$134:$BZ$134</c:f>
              <c:numCache>
                <c:formatCode>General</c:formatCode>
                <c:ptCount val="17"/>
                <c:pt idx="0">
                  <c:v>63.166666666666664</c:v>
                </c:pt>
                <c:pt idx="1">
                  <c:v>59.624999999999993</c:v>
                </c:pt>
                <c:pt idx="2">
                  <c:v>56.900000000000006</c:v>
                </c:pt>
                <c:pt idx="3">
                  <c:v>54.749999999999993</c:v>
                </c:pt>
                <c:pt idx="4">
                  <c:v>49.916666666666664</c:v>
                </c:pt>
                <c:pt idx="5">
                  <c:v>81.000000000000014</c:v>
                </c:pt>
                <c:pt idx="6">
                  <c:v>82.083333333333329</c:v>
                </c:pt>
                <c:pt idx="7">
                  <c:v>77.5</c:v>
                </c:pt>
                <c:pt idx="8">
                  <c:v>74.05</c:v>
                </c:pt>
                <c:pt idx="9">
                  <c:v>71.375</c:v>
                </c:pt>
                <c:pt idx="10">
                  <c:v>65.833333333333343</c:v>
                </c:pt>
                <c:pt idx="11">
                  <c:v>116.74999999999999</c:v>
                </c:pt>
                <c:pt idx="12">
                  <c:v>116.50000000000001</c:v>
                </c:pt>
                <c:pt idx="13">
                  <c:v>110.375</c:v>
                </c:pt>
                <c:pt idx="14">
                  <c:v>105.95</c:v>
                </c:pt>
                <c:pt idx="15">
                  <c:v>102.45833333333331</c:v>
                </c:pt>
                <c:pt idx="16">
                  <c:v>94.805555555555557</c:v>
                </c:pt>
              </c:numCache>
            </c:numRef>
          </c:val>
          <c:extLst xmlns:c16r2="http://schemas.microsoft.com/office/drawing/2015/06/chart">
            <c:ext xmlns:c16="http://schemas.microsoft.com/office/drawing/2014/chart" uri="{C3380CC4-5D6E-409C-BE32-E72D297353CC}">
              <c16:uniqueId val="{00000000-69C0-4DF8-A63D-4ECA48E5880B}"/>
            </c:ext>
          </c:extLst>
        </c:ser>
        <c:ser>
          <c:idx val="1"/>
          <c:order val="1"/>
          <c:marker>
            <c:symbol val="none"/>
          </c:marker>
          <c:val>
            <c:numRef>
              <c:f>'10 těles'!$BJ$135:$BZ$135</c:f>
              <c:numCache>
                <c:formatCode>General</c:formatCode>
                <c:ptCount val="17"/>
                <c:pt idx="0">
                  <c:v>62.083333333333329</c:v>
                </c:pt>
                <c:pt idx="1">
                  <c:v>58.59375</c:v>
                </c:pt>
                <c:pt idx="2">
                  <c:v>55.875</c:v>
                </c:pt>
                <c:pt idx="3">
                  <c:v>53.645833333333336</c:v>
                </c:pt>
                <c:pt idx="4">
                  <c:v>48.715277777777786</c:v>
                </c:pt>
                <c:pt idx="5">
                  <c:v>81.09375</c:v>
                </c:pt>
                <c:pt idx="6">
                  <c:v>80.520833333333329</c:v>
                </c:pt>
                <c:pt idx="7">
                  <c:v>76.015624999999986</c:v>
                </c:pt>
                <c:pt idx="8">
                  <c:v>72.625</c:v>
                </c:pt>
                <c:pt idx="9">
                  <c:v>69.947916666666671</c:v>
                </c:pt>
                <c:pt idx="10">
                  <c:v>64.2361111111111</c:v>
                </c:pt>
                <c:pt idx="11">
                  <c:v>116.71875</c:v>
                </c:pt>
                <c:pt idx="12">
                  <c:v>114.89583333333333</c:v>
                </c:pt>
                <c:pt idx="13">
                  <c:v>108.59375</c:v>
                </c:pt>
                <c:pt idx="14">
                  <c:v>103.9375</c:v>
                </c:pt>
                <c:pt idx="15">
                  <c:v>100.26041666666667</c:v>
                </c:pt>
                <c:pt idx="16">
                  <c:v>92.430555555555543</c:v>
                </c:pt>
              </c:numCache>
            </c:numRef>
          </c:val>
          <c:extLst xmlns:c16r2="http://schemas.microsoft.com/office/drawing/2015/06/chart">
            <c:ext xmlns:c16="http://schemas.microsoft.com/office/drawing/2014/chart" uri="{C3380CC4-5D6E-409C-BE32-E72D297353CC}">
              <c16:uniqueId val="{00000001-69C0-4DF8-A63D-4ECA48E5880B}"/>
            </c:ext>
          </c:extLst>
        </c:ser>
        <c:ser>
          <c:idx val="2"/>
          <c:order val="2"/>
          <c:marker>
            <c:symbol val="none"/>
          </c:marker>
          <c:val>
            <c:numRef>
              <c:f>'10 těles'!$BJ$136:$BZ$136</c:f>
              <c:numCache>
                <c:formatCode>General</c:formatCode>
                <c:ptCount val="17"/>
                <c:pt idx="0">
                  <c:v>61.666666666666671</c:v>
                </c:pt>
                <c:pt idx="1">
                  <c:v>58.07692307692308</c:v>
                </c:pt>
                <c:pt idx="2">
                  <c:v>55.38461538461538</c:v>
                </c:pt>
                <c:pt idx="3">
                  <c:v>53.205128205128212</c:v>
                </c:pt>
                <c:pt idx="4">
                  <c:v>48.076923076923073</c:v>
                </c:pt>
                <c:pt idx="5">
                  <c:v>80.769230769230774</c:v>
                </c:pt>
                <c:pt idx="6">
                  <c:v>79.871794871794876</c:v>
                </c:pt>
                <c:pt idx="7">
                  <c:v>75.288461538461533</c:v>
                </c:pt>
                <c:pt idx="8">
                  <c:v>71.92307692307692</c:v>
                </c:pt>
                <c:pt idx="9">
                  <c:v>69.294871794871796</c:v>
                </c:pt>
                <c:pt idx="10">
                  <c:v>63.418803418803421</c:v>
                </c:pt>
                <c:pt idx="11">
                  <c:v>115.96153846153847</c:v>
                </c:pt>
                <c:pt idx="12">
                  <c:v>114.48717948717949</c:v>
                </c:pt>
                <c:pt idx="13">
                  <c:v>107.98076923076923</c:v>
                </c:pt>
                <c:pt idx="14">
                  <c:v>103.07692307692307</c:v>
                </c:pt>
                <c:pt idx="15">
                  <c:v>99.166666666666671</c:v>
                </c:pt>
                <c:pt idx="16">
                  <c:v>91.196581196581192</c:v>
                </c:pt>
              </c:numCache>
            </c:numRef>
          </c:val>
          <c:extLst xmlns:c16r2="http://schemas.microsoft.com/office/drawing/2015/06/chart">
            <c:ext xmlns:c16="http://schemas.microsoft.com/office/drawing/2014/chart" uri="{C3380CC4-5D6E-409C-BE32-E72D297353CC}">
              <c16:uniqueId val="{00000002-69C0-4DF8-A63D-4ECA48E5880B}"/>
            </c:ext>
          </c:extLst>
        </c:ser>
        <c:ser>
          <c:idx val="3"/>
          <c:order val="3"/>
          <c:marker>
            <c:symbol val="none"/>
          </c:marker>
          <c:val>
            <c:numRef>
              <c:f>'10 těles'!$BJ$137:$BZ$137</c:f>
              <c:numCache>
                <c:formatCode>General</c:formatCode>
                <c:ptCount val="17"/>
                <c:pt idx="0">
                  <c:v>63.333333333333336</c:v>
                </c:pt>
                <c:pt idx="1">
                  <c:v>59.53125</c:v>
                </c:pt>
                <c:pt idx="2">
                  <c:v>56.625</c:v>
                </c:pt>
                <c:pt idx="3">
                  <c:v>54.375000000000007</c:v>
                </c:pt>
                <c:pt idx="4">
                  <c:v>48.680555555555557</c:v>
                </c:pt>
                <c:pt idx="5">
                  <c:v>84.6875</c:v>
                </c:pt>
                <c:pt idx="6">
                  <c:v>81.666666666666686</c:v>
                </c:pt>
                <c:pt idx="7">
                  <c:v>77.03125</c:v>
                </c:pt>
                <c:pt idx="8">
                  <c:v>73.5</c:v>
                </c:pt>
                <c:pt idx="9">
                  <c:v>70.729166666666686</c:v>
                </c:pt>
                <c:pt idx="10">
                  <c:v>64.2361111111111</c:v>
                </c:pt>
                <c:pt idx="11">
                  <c:v>121.24999999999999</c:v>
                </c:pt>
                <c:pt idx="12">
                  <c:v>118.54166666666666</c:v>
                </c:pt>
                <c:pt idx="13">
                  <c:v>111.09375</c:v>
                </c:pt>
                <c:pt idx="14">
                  <c:v>105.5</c:v>
                </c:pt>
                <c:pt idx="15">
                  <c:v>100.93750000000001</c:v>
                </c:pt>
                <c:pt idx="16">
                  <c:v>92.152777777777771</c:v>
                </c:pt>
              </c:numCache>
            </c:numRef>
          </c:val>
          <c:extLst xmlns:c16r2="http://schemas.microsoft.com/office/drawing/2015/06/chart">
            <c:ext xmlns:c16="http://schemas.microsoft.com/office/drawing/2014/chart" uri="{C3380CC4-5D6E-409C-BE32-E72D297353CC}">
              <c16:uniqueId val="{00000003-69C0-4DF8-A63D-4ECA48E5880B}"/>
            </c:ext>
          </c:extLst>
        </c:ser>
        <c:ser>
          <c:idx val="4"/>
          <c:order val="4"/>
          <c:marker>
            <c:symbol val="none"/>
          </c:marker>
          <c:val>
            <c:numRef>
              <c:f>'10 těles'!$BJ$138:$BZ$138</c:f>
              <c:numCache>
                <c:formatCode>General</c:formatCode>
                <c:ptCount val="17"/>
                <c:pt idx="0">
                  <c:v>1.0026385224274408</c:v>
                </c:pt>
                <c:pt idx="1">
                  <c:v>0.99842767295597501</c:v>
                </c:pt>
                <c:pt idx="2">
                  <c:v>0.99516695957820733</c:v>
                </c:pt>
                <c:pt idx="3">
                  <c:v>0.99315068493150716</c:v>
                </c:pt>
                <c:pt idx="4">
                  <c:v>0.97523650528658878</c:v>
                </c:pt>
                <c:pt idx="5">
                  <c:v>1.0455246913580245</c:v>
                </c:pt>
                <c:pt idx="6">
                  <c:v>0.99492385786802062</c:v>
                </c:pt>
                <c:pt idx="7">
                  <c:v>0.99395161290322576</c:v>
                </c:pt>
                <c:pt idx="8">
                  <c:v>0.99257258609047949</c:v>
                </c:pt>
                <c:pt idx="9">
                  <c:v>0.99095154699357879</c:v>
                </c:pt>
                <c:pt idx="10">
                  <c:v>0.97573839662447226</c:v>
                </c:pt>
                <c:pt idx="11">
                  <c:v>1.0385438972162742</c:v>
                </c:pt>
                <c:pt idx="12">
                  <c:v>1.0175250357653789</c:v>
                </c:pt>
                <c:pt idx="13">
                  <c:v>1.0065118912797282</c:v>
                </c:pt>
                <c:pt idx="14">
                  <c:v>0.99575271354412453</c:v>
                </c:pt>
                <c:pt idx="15">
                  <c:v>0.98515656771045168</c:v>
                </c:pt>
                <c:pt idx="16">
                  <c:v>0.97201875183123343</c:v>
                </c:pt>
              </c:numCache>
            </c:numRef>
          </c:val>
          <c:extLst xmlns:c16r2="http://schemas.microsoft.com/office/drawing/2015/06/chart">
            <c:ext xmlns:c16="http://schemas.microsoft.com/office/drawing/2014/chart" uri="{C3380CC4-5D6E-409C-BE32-E72D297353CC}">
              <c16:uniqueId val="{00000004-69C0-4DF8-A63D-4ECA48E5880B}"/>
            </c:ext>
          </c:extLst>
        </c:ser>
        <c:ser>
          <c:idx val="5"/>
          <c:order val="5"/>
          <c:marker>
            <c:symbol val="none"/>
          </c:marker>
          <c:val>
            <c:numRef>
              <c:f>'10 těles'!$BJ$139:$BZ$139</c:f>
              <c:numCache>
                <c:formatCode>General</c:formatCode>
                <c:ptCount val="17"/>
                <c:pt idx="0">
                  <c:v>52.654320987654323</c:v>
                </c:pt>
                <c:pt idx="1">
                  <c:v>49.722222222222221</c:v>
                </c:pt>
                <c:pt idx="2">
                  <c:v>47.444444444444443</c:v>
                </c:pt>
                <c:pt idx="3">
                  <c:v>45.617283950617278</c:v>
                </c:pt>
                <c:pt idx="4">
                  <c:v>41.604938271604937</c:v>
                </c:pt>
                <c:pt idx="5">
                  <c:v>67.5</c:v>
                </c:pt>
                <c:pt idx="6">
                  <c:v>68.395061728395063</c:v>
                </c:pt>
                <c:pt idx="7">
                  <c:v>64.583333333333329</c:v>
                </c:pt>
                <c:pt idx="8">
                  <c:v>61.703703703703695</c:v>
                </c:pt>
                <c:pt idx="9">
                  <c:v>59.506172839506178</c:v>
                </c:pt>
                <c:pt idx="10">
                  <c:v>54.855967078189302</c:v>
                </c:pt>
                <c:pt idx="11">
                  <c:v>97.314814814814824</c:v>
                </c:pt>
                <c:pt idx="12">
                  <c:v>97.037037037037038</c:v>
                </c:pt>
                <c:pt idx="13">
                  <c:v>91.990740740740733</c:v>
                </c:pt>
                <c:pt idx="14">
                  <c:v>88.296296296296305</c:v>
                </c:pt>
                <c:pt idx="15">
                  <c:v>85.370370370370381</c:v>
                </c:pt>
                <c:pt idx="16">
                  <c:v>79.012345679012341</c:v>
                </c:pt>
              </c:numCache>
            </c:numRef>
          </c:val>
          <c:extLst xmlns:c16r2="http://schemas.microsoft.com/office/drawing/2015/06/chart">
            <c:ext xmlns:c16="http://schemas.microsoft.com/office/drawing/2014/chart" uri="{C3380CC4-5D6E-409C-BE32-E72D297353CC}">
              <c16:uniqueId val="{00000005-69C0-4DF8-A63D-4ECA48E5880B}"/>
            </c:ext>
          </c:extLst>
        </c:ser>
        <c:ser>
          <c:idx val="6"/>
          <c:order val="6"/>
          <c:marker>
            <c:symbol val="none"/>
          </c:marker>
          <c:val>
            <c:numRef>
              <c:f>'10 těles'!$BJ$140:$BZ$140</c:f>
              <c:numCache>
                <c:formatCode>General</c:formatCode>
                <c:ptCount val="17"/>
                <c:pt idx="0">
                  <c:v>49.703703703703702</c:v>
                </c:pt>
                <c:pt idx="1">
                  <c:v>46.833333333333329</c:v>
                </c:pt>
                <c:pt idx="2">
                  <c:v>44.666666666666664</c:v>
                </c:pt>
                <c:pt idx="3">
                  <c:v>42.925925925925924</c:v>
                </c:pt>
                <c:pt idx="4">
                  <c:v>38.987654320987652</c:v>
                </c:pt>
                <c:pt idx="5">
                  <c:v>64.888888888888886</c:v>
                </c:pt>
                <c:pt idx="6">
                  <c:v>64.370370370370367</c:v>
                </c:pt>
                <c:pt idx="7">
                  <c:v>60.777777777777771</c:v>
                </c:pt>
                <c:pt idx="8">
                  <c:v>58.088888888888889</c:v>
                </c:pt>
                <c:pt idx="9">
                  <c:v>55.962962962962962</c:v>
                </c:pt>
                <c:pt idx="10">
                  <c:v>51.407407407407405</c:v>
                </c:pt>
                <c:pt idx="11">
                  <c:v>93.444444444444457</c:v>
                </c:pt>
                <c:pt idx="12">
                  <c:v>91.925925925925938</c:v>
                </c:pt>
                <c:pt idx="13">
                  <c:v>86.8888888888889</c:v>
                </c:pt>
                <c:pt idx="14">
                  <c:v>83.155555555555566</c:v>
                </c:pt>
                <c:pt idx="15">
                  <c:v>80.185185185185176</c:v>
                </c:pt>
                <c:pt idx="16">
                  <c:v>73.950617283950606</c:v>
                </c:pt>
              </c:numCache>
            </c:numRef>
          </c:val>
          <c:extLst xmlns:c16r2="http://schemas.microsoft.com/office/drawing/2015/06/chart">
            <c:ext xmlns:c16="http://schemas.microsoft.com/office/drawing/2014/chart" uri="{C3380CC4-5D6E-409C-BE32-E72D297353CC}">
              <c16:uniqueId val="{00000006-69C0-4DF8-A63D-4ECA48E5880B}"/>
            </c:ext>
          </c:extLst>
        </c:ser>
        <c:ser>
          <c:idx val="7"/>
          <c:order val="7"/>
          <c:marker>
            <c:symbol val="none"/>
          </c:marker>
          <c:val>
            <c:numRef>
              <c:f>'10 těles'!$BJ$141:$BZ$141</c:f>
              <c:numCache>
                <c:formatCode>General</c:formatCode>
                <c:ptCount val="17"/>
                <c:pt idx="0">
                  <c:v>47.145969498910667</c:v>
                </c:pt>
                <c:pt idx="1">
                  <c:v>44.44444444444445</c:v>
                </c:pt>
                <c:pt idx="2">
                  <c:v>42.352941176470587</c:v>
                </c:pt>
                <c:pt idx="3">
                  <c:v>40.697167755991281</c:v>
                </c:pt>
                <c:pt idx="4">
                  <c:v>36.775599128540314</c:v>
                </c:pt>
                <c:pt idx="5">
                  <c:v>61.699346405228752</c:v>
                </c:pt>
                <c:pt idx="6">
                  <c:v>61.002178649237464</c:v>
                </c:pt>
                <c:pt idx="7">
                  <c:v>57.58169934640523</c:v>
                </c:pt>
                <c:pt idx="8">
                  <c:v>55.006535947712422</c:v>
                </c:pt>
                <c:pt idx="9">
                  <c:v>52.984749455337692</c:v>
                </c:pt>
                <c:pt idx="10">
                  <c:v>48.511256354393609</c:v>
                </c:pt>
                <c:pt idx="11">
                  <c:v>88.627450980392169</c:v>
                </c:pt>
                <c:pt idx="12">
                  <c:v>87.58169934640523</c:v>
                </c:pt>
                <c:pt idx="13">
                  <c:v>82.614379084967325</c:v>
                </c:pt>
                <c:pt idx="14">
                  <c:v>78.849673202614383</c:v>
                </c:pt>
                <c:pt idx="15">
                  <c:v>75.860566448801748</c:v>
                </c:pt>
                <c:pt idx="16">
                  <c:v>69.716775599128539</c:v>
                </c:pt>
              </c:numCache>
            </c:numRef>
          </c:val>
          <c:extLst xmlns:c16r2="http://schemas.microsoft.com/office/drawing/2015/06/chart">
            <c:ext xmlns:c16="http://schemas.microsoft.com/office/drawing/2014/chart" uri="{C3380CC4-5D6E-409C-BE32-E72D297353CC}">
              <c16:uniqueId val="{00000007-69C0-4DF8-A63D-4ECA48E5880B}"/>
            </c:ext>
          </c:extLst>
        </c:ser>
        <c:ser>
          <c:idx val="8"/>
          <c:order val="8"/>
          <c:marker>
            <c:symbol val="none"/>
          </c:marker>
          <c:val>
            <c:numRef>
              <c:f>'10 těles'!$BJ$142:$BZ$142</c:f>
              <c:numCache>
                <c:formatCode>General</c:formatCode>
                <c:ptCount val="17"/>
                <c:pt idx="0">
                  <c:v>42.222222222222221</c:v>
                </c:pt>
                <c:pt idx="1">
                  <c:v>39.722222222222229</c:v>
                </c:pt>
                <c:pt idx="2">
                  <c:v>37.777777777777779</c:v>
                </c:pt>
                <c:pt idx="3">
                  <c:v>36.23456790123457</c:v>
                </c:pt>
                <c:pt idx="4">
                  <c:v>32.469135802469133</c:v>
                </c:pt>
                <c:pt idx="5">
                  <c:v>56.481481481481474</c:v>
                </c:pt>
                <c:pt idx="6">
                  <c:v>54.444444444444436</c:v>
                </c:pt>
                <c:pt idx="7">
                  <c:v>51.296296296296291</c:v>
                </c:pt>
                <c:pt idx="8">
                  <c:v>48.962962962962969</c:v>
                </c:pt>
                <c:pt idx="9">
                  <c:v>47.160493827160494</c:v>
                </c:pt>
                <c:pt idx="10">
                  <c:v>42.839506172839513</c:v>
                </c:pt>
                <c:pt idx="11">
                  <c:v>80.925925925925924</c:v>
                </c:pt>
                <c:pt idx="12">
                  <c:v>79.012345679012341</c:v>
                </c:pt>
                <c:pt idx="13">
                  <c:v>74.074074074074076</c:v>
                </c:pt>
                <c:pt idx="14">
                  <c:v>70.296296296296305</c:v>
                </c:pt>
                <c:pt idx="15">
                  <c:v>67.283950617283949</c:v>
                </c:pt>
                <c:pt idx="16">
                  <c:v>61.440329218106996</c:v>
                </c:pt>
              </c:numCache>
            </c:numRef>
          </c:val>
          <c:extLst xmlns:c16r2="http://schemas.microsoft.com/office/drawing/2015/06/chart">
            <c:ext xmlns:c16="http://schemas.microsoft.com/office/drawing/2014/chart" uri="{C3380CC4-5D6E-409C-BE32-E72D297353CC}">
              <c16:uniqueId val="{00000008-69C0-4DF8-A63D-4ECA48E5880B}"/>
            </c:ext>
          </c:extLst>
        </c:ser>
        <c:marker val="1"/>
        <c:axId val="151032576"/>
        <c:axId val="151034112"/>
      </c:lineChart>
      <c:catAx>
        <c:axId val="151032576"/>
        <c:scaling>
          <c:orientation val="minMax"/>
        </c:scaling>
        <c:axPos val="b"/>
        <c:tickLblPos val="nextTo"/>
        <c:crossAx val="151034112"/>
        <c:crosses val="autoZero"/>
        <c:auto val="1"/>
        <c:lblAlgn val="ctr"/>
        <c:lblOffset val="100"/>
      </c:catAx>
      <c:valAx>
        <c:axId val="151034112"/>
        <c:scaling>
          <c:orientation val="minMax"/>
        </c:scaling>
        <c:axPos val="l"/>
        <c:majorGridlines/>
        <c:numFmt formatCode="General" sourceLinked="1"/>
        <c:tickLblPos val="nextTo"/>
        <c:crossAx val="151032576"/>
        <c:crosses val="autoZero"/>
        <c:crossBetween val="between"/>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Chlazení trubka světlost 13 mmtlak 10 kPa. Závislost W/m2K na ploše 8 - 30 m2 a rozteči. </a:t>
            </a:r>
          </a:p>
        </c:rich>
      </c:tx>
    </c:title>
    <c:plotArea>
      <c:layout/>
      <c:scatterChart>
        <c:scatterStyle val="lineMarker"/>
        <c:ser>
          <c:idx val="0"/>
          <c:order val="0"/>
          <c:tx>
            <c:strRef>
              <c:f>'výpočet PT'!$AT$62</c:f>
              <c:strCache>
                <c:ptCount val="1"/>
                <c:pt idx="0">
                  <c:v>0,1</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PT'!$AU$62:$BF$62</c:f>
              <c:numCache>
                <c:formatCode>General</c:formatCode>
                <c:ptCount val="12"/>
                <c:pt idx="0">
                  <c:v>3.3536759198381021</c:v>
                </c:pt>
                <c:pt idx="1">
                  <c:v>3.2233121640263889</c:v>
                </c:pt>
                <c:pt idx="2">
                  <c:v>3.0850029331829276</c:v>
                </c:pt>
                <c:pt idx="3">
                  <c:v>2.9419372527943444</c:v>
                </c:pt>
                <c:pt idx="4">
                  <c:v>2.796755207543431</c:v>
                </c:pt>
                <c:pt idx="5">
                  <c:v>2.6516356859417174</c:v>
                </c:pt>
                <c:pt idx="6">
                  <c:v>2.5083566955584082</c:v>
                </c:pt>
                <c:pt idx="7">
                  <c:v>2.3683432583521249</c:v>
                </c:pt>
                <c:pt idx="8">
                  <c:v>2.2327092205861021</c:v>
                </c:pt>
                <c:pt idx="9">
                  <c:v>2.1022956305383826</c:v>
                </c:pt>
                <c:pt idx="10">
                  <c:v>1.9777066789689</c:v>
                </c:pt>
                <c:pt idx="11">
                  <c:v>1.8593434456630973</c:v>
                </c:pt>
              </c:numCache>
            </c:numRef>
          </c:yVal>
          <c:extLst xmlns:c16r2="http://schemas.microsoft.com/office/drawing/2015/06/chart">
            <c:ext xmlns:c16="http://schemas.microsoft.com/office/drawing/2014/chart" uri="{C3380CC4-5D6E-409C-BE32-E72D297353CC}">
              <c16:uniqueId val="{00000000-FCBF-4BAB-83A7-8C7F4EBA6FDB}"/>
            </c:ext>
          </c:extLst>
        </c:ser>
        <c:ser>
          <c:idx val="1"/>
          <c:order val="1"/>
          <c:tx>
            <c:strRef>
              <c:f>'výpočet PT'!$AT$63</c:f>
              <c:strCache>
                <c:ptCount val="1"/>
                <c:pt idx="0">
                  <c:v>0,15</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PT'!$AU$63:$BF$63</c:f>
              <c:numCache>
                <c:formatCode>General</c:formatCode>
                <c:ptCount val="12"/>
                <c:pt idx="0">
                  <c:v>3.1619672391258362</c:v>
                </c:pt>
                <c:pt idx="1">
                  <c:v>3.0711700117820944</c:v>
                </c:pt>
                <c:pt idx="2">
                  <c:v>2.973354614402727</c:v>
                </c:pt>
                <c:pt idx="3">
                  <c:v>2.8704662435915909</c:v>
                </c:pt>
                <c:pt idx="4">
                  <c:v>2.7641578613183193</c:v>
                </c:pt>
                <c:pt idx="5">
                  <c:v>2.6558457482822861</c:v>
                </c:pt>
                <c:pt idx="6">
                  <c:v>2.5467436874194518</c:v>
                </c:pt>
                <c:pt idx="7">
                  <c:v>2.4378867753883431</c:v>
                </c:pt>
                <c:pt idx="8">
                  <c:v>2.3301499259293315</c:v>
                </c:pt>
                <c:pt idx="9">
                  <c:v>2.2242635377463835</c:v>
                </c:pt>
                <c:pt idx="10">
                  <c:v>2.120827562253973</c:v>
                </c:pt>
                <c:pt idx="11">
                  <c:v>2.0203245791045208</c:v>
                </c:pt>
              </c:numCache>
            </c:numRef>
          </c:yVal>
          <c:extLst xmlns:c16r2="http://schemas.microsoft.com/office/drawing/2015/06/chart">
            <c:ext xmlns:c16="http://schemas.microsoft.com/office/drawing/2014/chart" uri="{C3380CC4-5D6E-409C-BE32-E72D297353CC}">
              <c16:uniqueId val="{00000001-FCBF-4BAB-83A7-8C7F4EBA6FDB}"/>
            </c:ext>
          </c:extLst>
        </c:ser>
        <c:ser>
          <c:idx val="2"/>
          <c:order val="2"/>
          <c:tx>
            <c:strRef>
              <c:f>'výpočet PT'!$AT$64</c:f>
              <c:strCache>
                <c:ptCount val="1"/>
                <c:pt idx="0">
                  <c:v>0,2</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PT'!$AU$64:$BF$64</c:f>
              <c:numCache>
                <c:formatCode>General</c:formatCode>
                <c:ptCount val="12"/>
                <c:pt idx="0">
                  <c:v>2.9112884149523768</c:v>
                </c:pt>
                <c:pt idx="1">
                  <c:v>2.8465026333252101</c:v>
                </c:pt>
                <c:pt idx="2">
                  <c:v>2.7760375989536468</c:v>
                </c:pt>
                <c:pt idx="3">
                  <c:v>2.7011331098539877</c:v>
                </c:pt>
                <c:pt idx="4">
                  <c:v>2.6228528113797651</c:v>
                </c:pt>
                <c:pt idx="5">
                  <c:v>2.5421233111499086</c:v>
                </c:pt>
                <c:pt idx="6">
                  <c:v>2.4597573192957229</c:v>
                </c:pt>
                <c:pt idx="7">
                  <c:v>2.3764687090560277</c:v>
                </c:pt>
                <c:pt idx="8">
                  <c:v>2.2928832354048478</c:v>
                </c:pt>
                <c:pt idx="9">
                  <c:v>2.2095468225834778</c:v>
                </c:pt>
                <c:pt idx="10">
                  <c:v>2.126932447960908</c:v>
                </c:pt>
                <c:pt idx="11">
                  <c:v>2.0454461907527981</c:v>
                </c:pt>
              </c:numCache>
            </c:numRef>
          </c:yVal>
          <c:extLst xmlns:c16r2="http://schemas.microsoft.com/office/drawing/2015/06/chart">
            <c:ext xmlns:c16="http://schemas.microsoft.com/office/drawing/2014/chart" uri="{C3380CC4-5D6E-409C-BE32-E72D297353CC}">
              <c16:uniqueId val="{00000002-FCBF-4BAB-83A7-8C7F4EBA6FDB}"/>
            </c:ext>
          </c:extLst>
        </c:ser>
        <c:ser>
          <c:idx val="3"/>
          <c:order val="3"/>
          <c:tx>
            <c:strRef>
              <c:f>'výpočet PT'!$AT$65</c:f>
              <c:strCache>
                <c:ptCount val="1"/>
                <c:pt idx="0">
                  <c:v>0,25</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PT'!$AU$65:$BF$65</c:f>
              <c:numCache>
                <c:formatCode>General</c:formatCode>
                <c:ptCount val="12"/>
                <c:pt idx="0">
                  <c:v>2.6538363491022117</c:v>
                </c:pt>
                <c:pt idx="1">
                  <c:v>2.606714689652573</c:v>
                </c:pt>
                <c:pt idx="2">
                  <c:v>2.5551229714372443</c:v>
                </c:pt>
                <c:pt idx="3">
                  <c:v>2.4998803951073425</c:v>
                </c:pt>
                <c:pt idx="4">
                  <c:v>2.4416911888474395</c:v>
                </c:pt>
                <c:pt idx="5">
                  <c:v>2.3811732218718076</c:v>
                </c:pt>
                <c:pt idx="6">
                  <c:v>2.3188747613744023</c:v>
                </c:pt>
                <c:pt idx="7">
                  <c:v>2.2552850945874967</c:v>
                </c:pt>
                <c:pt idx="8">
                  <c:v>2.1908417548973929</c:v>
                </c:pt>
                <c:pt idx="9">
                  <c:v>2.1259357777895396</c:v>
                </c:pt>
                <c:pt idx="10">
                  <c:v>2.060915775053882</c:v>
                </c:pt>
                <c:pt idx="11">
                  <c:v>1.996091282384614</c:v>
                </c:pt>
              </c:numCache>
            </c:numRef>
          </c:yVal>
          <c:extLst xmlns:c16r2="http://schemas.microsoft.com/office/drawing/2015/06/chart">
            <c:ext xmlns:c16="http://schemas.microsoft.com/office/drawing/2014/chart" uri="{C3380CC4-5D6E-409C-BE32-E72D297353CC}">
              <c16:uniqueId val="{00000003-FCBF-4BAB-83A7-8C7F4EBA6FDB}"/>
            </c:ext>
          </c:extLst>
        </c:ser>
        <c:ser>
          <c:idx val="4"/>
          <c:order val="4"/>
          <c:tx>
            <c:strRef>
              <c:f>'výpočet PT'!$AT$66</c:f>
              <c:strCache>
                <c:ptCount val="1"/>
                <c:pt idx="0">
                  <c:v>0,3</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PT'!$AU$66:$BF$66</c:f>
              <c:numCache>
                <c:formatCode>General</c:formatCode>
                <c:ptCount val="12"/>
                <c:pt idx="0">
                  <c:v>2.4131639442645234</c:v>
                </c:pt>
                <c:pt idx="1">
                  <c:v>2.378204941324543</c:v>
                </c:pt>
                <c:pt idx="2">
                  <c:v>2.3397469363089889</c:v>
                </c:pt>
                <c:pt idx="3">
                  <c:v>2.2983502788880132</c:v>
                </c:pt>
                <c:pt idx="4">
                  <c:v>2.2544957834920574</c:v>
                </c:pt>
                <c:pt idx="5">
                  <c:v>2.2086061413182154</c:v>
                </c:pt>
                <c:pt idx="6">
                  <c:v>2.161058459580933</c:v>
                </c:pt>
                <c:pt idx="7">
                  <c:v>2.112192149964359</c:v>
                </c:pt>
                <c:pt idx="8">
                  <c:v>2.0623141975073023</c:v>
                </c:pt>
                <c:pt idx="9">
                  <c:v>2.0117028758269968</c:v>
                </c:pt>
                <c:pt idx="10">
                  <c:v>1.9606105054579188</c:v>
                </c:pt>
                <c:pt idx="11">
                  <c:v>1.9092656062001616</c:v>
                </c:pt>
              </c:numCache>
            </c:numRef>
          </c:yVal>
          <c:extLst xmlns:c16r2="http://schemas.microsoft.com/office/drawing/2015/06/chart">
            <c:ext xmlns:c16="http://schemas.microsoft.com/office/drawing/2014/chart" uri="{C3380CC4-5D6E-409C-BE32-E72D297353CC}">
              <c16:uniqueId val="{00000004-FCBF-4BAB-83A7-8C7F4EBA6FDB}"/>
            </c:ext>
          </c:extLst>
        </c:ser>
        <c:ser>
          <c:idx val="5"/>
          <c:order val="5"/>
          <c:tx>
            <c:strRef>
              <c:f>'výpočet PT'!$AT$67</c:f>
              <c:strCache>
                <c:ptCount val="1"/>
                <c:pt idx="0">
                  <c:v>0,4</c:v>
                </c:pt>
              </c:strCache>
            </c:strRef>
          </c:tx>
          <c:marker>
            <c:symbol val="none"/>
          </c:marker>
          <c:xVal>
            <c:numRef>
              <c:f>'výpočet PT'!$AU$55:$BF$55</c:f>
              <c:numCache>
                <c:formatCode>General</c:formatCode>
                <c:ptCount val="12"/>
                <c:pt idx="0">
                  <c:v>8</c:v>
                </c:pt>
                <c:pt idx="1">
                  <c:v>10</c:v>
                </c:pt>
                <c:pt idx="2">
                  <c:v>12</c:v>
                </c:pt>
                <c:pt idx="3">
                  <c:v>14</c:v>
                </c:pt>
                <c:pt idx="4">
                  <c:v>16</c:v>
                </c:pt>
                <c:pt idx="5">
                  <c:v>18</c:v>
                </c:pt>
                <c:pt idx="6">
                  <c:v>20</c:v>
                </c:pt>
                <c:pt idx="7">
                  <c:v>22</c:v>
                </c:pt>
                <c:pt idx="8">
                  <c:v>24</c:v>
                </c:pt>
                <c:pt idx="9">
                  <c:v>26</c:v>
                </c:pt>
                <c:pt idx="10">
                  <c:v>28</c:v>
                </c:pt>
                <c:pt idx="11">
                  <c:v>30</c:v>
                </c:pt>
              </c:numCache>
            </c:numRef>
          </c:xVal>
          <c:yVal>
            <c:numRef>
              <c:f>'výpočet PT'!$AU$67:$BF$67</c:f>
              <c:numCache>
                <c:formatCode>General</c:formatCode>
                <c:ptCount val="12"/>
                <c:pt idx="0">
                  <c:v>2.0084600605231526</c:v>
                </c:pt>
                <c:pt idx="1">
                  <c:v>1.9880351629264841</c:v>
                </c:pt>
                <c:pt idx="2">
                  <c:v>1.9654251765396866</c:v>
                </c:pt>
                <c:pt idx="3">
                  <c:v>1.9409187502225047</c:v>
                </c:pt>
                <c:pt idx="4">
                  <c:v>1.9147614447943042</c:v>
                </c:pt>
                <c:pt idx="5">
                  <c:v>1.8871684108007136</c:v>
                </c:pt>
                <c:pt idx="6">
                  <c:v>1.8583318600184469</c:v>
                </c:pt>
                <c:pt idx="7">
                  <c:v>1.8284257741202141</c:v>
                </c:pt>
                <c:pt idx="8">
                  <c:v>1.7976090307225068</c:v>
                </c:pt>
                <c:pt idx="9">
                  <c:v>1.7660275699135644</c:v>
                </c:pt>
                <c:pt idx="10">
                  <c:v>1.7338159533144537</c:v>
                </c:pt>
                <c:pt idx="11">
                  <c:v>1.7010985254600766</c:v>
                </c:pt>
              </c:numCache>
            </c:numRef>
          </c:yVal>
          <c:extLst xmlns:c16r2="http://schemas.microsoft.com/office/drawing/2015/06/chart">
            <c:ext xmlns:c16="http://schemas.microsoft.com/office/drawing/2014/chart" uri="{C3380CC4-5D6E-409C-BE32-E72D297353CC}">
              <c16:uniqueId val="{00000005-FCBF-4BAB-83A7-8C7F4EBA6FDB}"/>
            </c:ext>
          </c:extLst>
        </c:ser>
        <c:axId val="156449408"/>
        <c:axId val="156455296"/>
      </c:scatterChart>
      <c:valAx>
        <c:axId val="156449408"/>
        <c:scaling>
          <c:orientation val="minMax"/>
          <c:max val="30"/>
          <c:min val="5"/>
        </c:scaling>
        <c:axPos val="b"/>
        <c:majorGridlines/>
        <c:numFmt formatCode="General" sourceLinked="1"/>
        <c:tickLblPos val="nextTo"/>
        <c:crossAx val="156455296"/>
        <c:crosses val="autoZero"/>
        <c:crossBetween val="midCat"/>
        <c:majorUnit val="5"/>
      </c:valAx>
      <c:valAx>
        <c:axId val="156455296"/>
        <c:scaling>
          <c:orientation val="minMax"/>
        </c:scaling>
        <c:axPos val="l"/>
        <c:majorGridlines/>
        <c:numFmt formatCode="General" sourceLinked="1"/>
        <c:tickLblPos val="nextTo"/>
        <c:crossAx val="15644940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PT'!$AT$74</c:f>
              <c:strCache>
                <c:ptCount val="1"/>
                <c:pt idx="0">
                  <c:v>top</c:v>
                </c:pt>
              </c:strCache>
            </c:strRef>
          </c:tx>
          <c:marker>
            <c:symbol val="none"/>
          </c:marker>
          <c:xVal>
            <c:numRef>
              <c:f>'výpočet PT'!$AU$73:$BF$73</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PT'!$AU$74:$BF$74</c:f>
              <c:numCache>
                <c:formatCode>General</c:formatCode>
                <c:ptCount val="12"/>
                <c:pt idx="0">
                  <c:v>1.7452385615121906</c:v>
                </c:pt>
                <c:pt idx="1">
                  <c:v>2.4374922870626237</c:v>
                </c:pt>
                <c:pt idx="2">
                  <c:v>2.8578054926249825</c:v>
                </c:pt>
                <c:pt idx="3">
                  <c:v>3.1221787741755591</c:v>
                </c:pt>
                <c:pt idx="4">
                  <c:v>3.2810170408133872</c:v>
                </c:pt>
                <c:pt idx="5">
                  <c:v>3.3869242004344686</c:v>
                </c:pt>
                <c:pt idx="6">
                  <c:v>3.266864028728552</c:v>
                </c:pt>
                <c:pt idx="7">
                  <c:v>2.8261133182847757</c:v>
                </c:pt>
                <c:pt idx="8">
                  <c:v>2.3968498534168798</c:v>
                </c:pt>
                <c:pt idx="9">
                  <c:v>2.0502778166274402</c:v>
                </c:pt>
                <c:pt idx="10">
                  <c:v>1.7789895307386516</c:v>
                </c:pt>
                <c:pt idx="11">
                  <c:v>1.5654152149101119</c:v>
                </c:pt>
              </c:numCache>
            </c:numRef>
          </c:yVal>
          <c:extLst xmlns:c16r2="http://schemas.microsoft.com/office/drawing/2015/06/chart">
            <c:ext xmlns:c16="http://schemas.microsoft.com/office/drawing/2014/chart" uri="{C3380CC4-5D6E-409C-BE32-E72D297353CC}">
              <c16:uniqueId val="{00000000-8396-47A9-8714-657B3406A2B6}"/>
            </c:ext>
          </c:extLst>
        </c:ser>
        <c:ser>
          <c:idx val="1"/>
          <c:order val="1"/>
          <c:tx>
            <c:strRef>
              <c:f>'výpočet PT'!$AT$75</c:f>
              <c:strCache>
                <c:ptCount val="1"/>
                <c:pt idx="0">
                  <c:v>TZB</c:v>
                </c:pt>
              </c:strCache>
            </c:strRef>
          </c:tx>
          <c:marker>
            <c:symbol val="none"/>
          </c:marker>
          <c:xVal>
            <c:numRef>
              <c:f>'výpočet PT'!$AU$73:$BF$73</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PT'!$AU$75:$BF$75</c:f>
              <c:numCache>
                <c:formatCode>General</c:formatCode>
                <c:ptCount val="12"/>
                <c:pt idx="4">
                  <c:v>7.5</c:v>
                </c:pt>
                <c:pt idx="5">
                  <c:v>6.9230769230769234</c:v>
                </c:pt>
                <c:pt idx="6">
                  <c:v>6.4285714285714288</c:v>
                </c:pt>
                <c:pt idx="7">
                  <c:v>5.2941176470588234</c:v>
                </c:pt>
              </c:numCache>
            </c:numRef>
          </c:yVal>
          <c:extLst xmlns:c16r2="http://schemas.microsoft.com/office/drawing/2015/06/chart">
            <c:ext xmlns:c16="http://schemas.microsoft.com/office/drawing/2014/chart" uri="{C3380CC4-5D6E-409C-BE32-E72D297353CC}">
              <c16:uniqueId val="{00000001-8396-47A9-8714-657B3406A2B6}"/>
            </c:ext>
          </c:extLst>
        </c:ser>
        <c:axId val="156480256"/>
        <c:axId val="156481792"/>
      </c:scatterChart>
      <c:valAx>
        <c:axId val="156480256"/>
        <c:scaling>
          <c:orientation val="minMax"/>
          <c:max val="0.70000000000000062"/>
        </c:scaling>
        <c:axPos val="b"/>
        <c:majorGridlines/>
        <c:numFmt formatCode="General" sourceLinked="1"/>
        <c:tickLblPos val="nextTo"/>
        <c:crossAx val="156481792"/>
        <c:crosses val="autoZero"/>
        <c:crossBetween val="midCat"/>
        <c:majorUnit val="0.1"/>
      </c:valAx>
      <c:valAx>
        <c:axId val="156481792"/>
        <c:scaling>
          <c:orientation val="minMax"/>
        </c:scaling>
        <c:axPos val="l"/>
        <c:majorGridlines/>
        <c:numFmt formatCode="General" sourceLinked="1"/>
        <c:tickLblPos val="nextTo"/>
        <c:crossAx val="15648025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teplotní průběh podlahy  °C </a:t>
            </a:r>
          </a:p>
        </c:rich>
      </c:tx>
    </c:title>
    <c:plotArea>
      <c:layout/>
      <c:scatterChart>
        <c:scatterStyle val="lineMarker"/>
        <c:ser>
          <c:idx val="0"/>
          <c:order val="0"/>
          <c:tx>
            <c:strRef>
              <c:f>'výpočet PT'!$G$108</c:f>
              <c:strCache>
                <c:ptCount val="1"/>
                <c:pt idx="0">
                  <c:v>0,15</c:v>
                </c:pt>
              </c:strCache>
            </c:strRef>
          </c:tx>
          <c:marker>
            <c:symbol val="none"/>
          </c:marker>
          <c:xVal>
            <c:numRef>
              <c:f>'výpočet PT'!$A$109:$A$143</c:f>
              <c:numCache>
                <c:formatCode>General</c:formatCode>
                <c:ptCount val="35"/>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pt idx="24">
                  <c:v>0</c:v>
                </c:pt>
                <c:pt idx="25">
                  <c:v>1</c:v>
                </c:pt>
                <c:pt idx="26">
                  <c:v>2</c:v>
                </c:pt>
                <c:pt idx="27">
                  <c:v>3</c:v>
                </c:pt>
                <c:pt idx="28">
                  <c:v>4</c:v>
                </c:pt>
                <c:pt idx="29">
                  <c:v>5</c:v>
                </c:pt>
                <c:pt idx="30">
                  <c:v>6</c:v>
                </c:pt>
                <c:pt idx="31">
                  <c:v>7</c:v>
                </c:pt>
                <c:pt idx="32">
                  <c:v>8</c:v>
                </c:pt>
                <c:pt idx="33">
                  <c:v>9</c:v>
                </c:pt>
                <c:pt idx="34">
                  <c:v>10</c:v>
                </c:pt>
              </c:numCache>
            </c:numRef>
          </c:xVal>
          <c:yVal>
            <c:numRef>
              <c:f>'výpočet PT'!$G$109:$G$143</c:f>
              <c:numCache>
                <c:formatCode>General</c:formatCode>
                <c:ptCount val="35"/>
                <c:pt idx="0">
                  <c:v>25.121475197315839</c:v>
                </c:pt>
                <c:pt idx="1">
                  <c:v>24.683921325566672</c:v>
                </c:pt>
                <c:pt idx="2">
                  <c:v>24.283749923380771</c:v>
                </c:pt>
                <c:pt idx="3">
                  <c:v>23.917767214812187</c:v>
                </c:pt>
                <c:pt idx="4">
                  <c:v>23.583052284560949</c:v>
                </c:pt>
                <c:pt idx="5">
                  <c:v>23.276933766089744</c:v>
                </c:pt>
                <c:pt idx="6">
                  <c:v>22.996968521394304</c:v>
                </c:pt>
                <c:pt idx="7">
                  <c:v>22.740922142270236</c:v>
                </c:pt>
                <c:pt idx="8">
                  <c:v>22.506751117456538</c:v>
                </c:pt>
                <c:pt idx="9">
                  <c:v>22.29258652333149</c:v>
                </c:pt>
                <c:pt idx="10">
                  <c:v>22.096719107995884</c:v>
                </c:pt>
                <c:pt idx="12">
                  <c:v>24.501728415268868</c:v>
                </c:pt>
                <c:pt idx="13">
                  <c:v>24.501728415268868</c:v>
                </c:pt>
                <c:pt idx="14">
                  <c:v>24.501728415268868</c:v>
                </c:pt>
                <c:pt idx="15">
                  <c:v>24.501728415268868</c:v>
                </c:pt>
                <c:pt idx="16">
                  <c:v>22.784847637585592</c:v>
                </c:pt>
                <c:pt idx="17">
                  <c:v>22.784847637585592</c:v>
                </c:pt>
                <c:pt idx="18">
                  <c:v>22.784847637585592</c:v>
                </c:pt>
                <c:pt idx="19">
                  <c:v>22.784847637585592</c:v>
                </c:pt>
                <c:pt idx="20">
                  <c:v>22.784847637585592</c:v>
                </c:pt>
                <c:pt idx="21">
                  <c:v>22.784847637585592</c:v>
                </c:pt>
                <c:pt idx="22">
                  <c:v>22.784847637585592</c:v>
                </c:pt>
                <c:pt idx="24">
                  <c:v>23.386924200434468</c:v>
                </c:pt>
                <c:pt idx="25">
                  <c:v>23.386924200434468</c:v>
                </c:pt>
                <c:pt idx="26">
                  <c:v>23.386924200434468</c:v>
                </c:pt>
                <c:pt idx="27">
                  <c:v>23.386924200434468</c:v>
                </c:pt>
                <c:pt idx="28">
                  <c:v>23.386924200434468</c:v>
                </c:pt>
                <c:pt idx="29">
                  <c:v>23.386924200434468</c:v>
                </c:pt>
                <c:pt idx="30">
                  <c:v>23.386924200434468</c:v>
                </c:pt>
                <c:pt idx="31">
                  <c:v>23.386924200434468</c:v>
                </c:pt>
                <c:pt idx="32">
                  <c:v>23.386924200434468</c:v>
                </c:pt>
                <c:pt idx="33">
                  <c:v>23.386924200434468</c:v>
                </c:pt>
                <c:pt idx="34">
                  <c:v>23.386924200434468</c:v>
                </c:pt>
              </c:numCache>
            </c:numRef>
          </c:yVal>
          <c:extLst xmlns:c16r2="http://schemas.microsoft.com/office/drawing/2015/06/chart">
            <c:ext xmlns:c16="http://schemas.microsoft.com/office/drawing/2014/chart" uri="{C3380CC4-5D6E-409C-BE32-E72D297353CC}">
              <c16:uniqueId val="{00000000-C701-4FDC-A76D-C1DE060331CB}"/>
            </c:ext>
          </c:extLst>
        </c:ser>
        <c:ser>
          <c:idx val="1"/>
          <c:order val="1"/>
          <c:tx>
            <c:strRef>
              <c:f>'výpočet PT'!$H$108</c:f>
              <c:strCache>
                <c:ptCount val="1"/>
                <c:pt idx="0">
                  <c:v>0,2</c:v>
                </c:pt>
              </c:strCache>
            </c:strRef>
          </c:tx>
          <c:marker>
            <c:symbol val="none"/>
          </c:marker>
          <c:xVal>
            <c:numRef>
              <c:f>'výpočet PT'!$A$109:$A$143</c:f>
              <c:numCache>
                <c:formatCode>General</c:formatCode>
                <c:ptCount val="35"/>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pt idx="24">
                  <c:v>0</c:v>
                </c:pt>
                <c:pt idx="25">
                  <c:v>1</c:v>
                </c:pt>
                <c:pt idx="26">
                  <c:v>2</c:v>
                </c:pt>
                <c:pt idx="27">
                  <c:v>3</c:v>
                </c:pt>
                <c:pt idx="28">
                  <c:v>4</c:v>
                </c:pt>
                <c:pt idx="29">
                  <c:v>5</c:v>
                </c:pt>
                <c:pt idx="30">
                  <c:v>6</c:v>
                </c:pt>
                <c:pt idx="31">
                  <c:v>7</c:v>
                </c:pt>
                <c:pt idx="32">
                  <c:v>8</c:v>
                </c:pt>
                <c:pt idx="33">
                  <c:v>9</c:v>
                </c:pt>
                <c:pt idx="34">
                  <c:v>10</c:v>
                </c:pt>
              </c:numCache>
            </c:numRef>
          </c:xVal>
          <c:yVal>
            <c:numRef>
              <c:f>'výpočet PT'!$H$109:$H$143</c:f>
              <c:numCache>
                <c:formatCode>General</c:formatCode>
                <c:ptCount val="35"/>
                <c:pt idx="0">
                  <c:v>24.459764877482996</c:v>
                </c:pt>
                <c:pt idx="1">
                  <c:v>24.175532696142394</c:v>
                </c:pt>
                <c:pt idx="2">
                  <c:v>23.909415356083567</c:v>
                </c:pt>
                <c:pt idx="3">
                  <c:v>23.660258352306002</c:v>
                </c:pt>
                <c:pt idx="4">
                  <c:v>23.426980759355125</c:v>
                </c:pt>
                <c:pt idx="5">
                  <c:v>23.208570541910316</c:v>
                </c:pt>
                <c:pt idx="6">
                  <c:v>23.00408016424111</c:v>
                </c:pt>
                <c:pt idx="7">
                  <c:v>22.812622479483927</c:v>
                </c:pt>
                <c:pt idx="8">
                  <c:v>22.633366880905712</c:v>
                </c:pt>
                <c:pt idx="9">
                  <c:v>22.465535698457284</c:v>
                </c:pt>
                <c:pt idx="10">
                  <c:v>22.308400824983607</c:v>
                </c:pt>
                <c:pt idx="12">
                  <c:v>24.051242820503742</c:v>
                </c:pt>
                <c:pt idx="13">
                  <c:v>24.051242820503742</c:v>
                </c:pt>
                <c:pt idx="14">
                  <c:v>24.051242820503742</c:v>
                </c:pt>
                <c:pt idx="15">
                  <c:v>24.051242820503742</c:v>
                </c:pt>
                <c:pt idx="16">
                  <c:v>22.837079621333867</c:v>
                </c:pt>
                <c:pt idx="17">
                  <c:v>22.837079621333867</c:v>
                </c:pt>
                <c:pt idx="18">
                  <c:v>22.837079621333867</c:v>
                </c:pt>
                <c:pt idx="19">
                  <c:v>22.837079621333867</c:v>
                </c:pt>
                <c:pt idx="20">
                  <c:v>22.837079621333867</c:v>
                </c:pt>
                <c:pt idx="21">
                  <c:v>22.837079621333867</c:v>
                </c:pt>
                <c:pt idx="22">
                  <c:v>22.837079621333867</c:v>
                </c:pt>
                <c:pt idx="24">
                  <c:v>23.266864028728552</c:v>
                </c:pt>
                <c:pt idx="25">
                  <c:v>23.266864028728552</c:v>
                </c:pt>
                <c:pt idx="26">
                  <c:v>23.266864028728552</c:v>
                </c:pt>
                <c:pt idx="27">
                  <c:v>23.266864028728552</c:v>
                </c:pt>
                <c:pt idx="28">
                  <c:v>23.266864028728552</c:v>
                </c:pt>
                <c:pt idx="29">
                  <c:v>23.266864028728552</c:v>
                </c:pt>
                <c:pt idx="30">
                  <c:v>23.266864028728552</c:v>
                </c:pt>
                <c:pt idx="31">
                  <c:v>23.266864028728552</c:v>
                </c:pt>
                <c:pt idx="32">
                  <c:v>23.266864028728552</c:v>
                </c:pt>
                <c:pt idx="33">
                  <c:v>23.266864028728552</c:v>
                </c:pt>
                <c:pt idx="34">
                  <c:v>23.266864028728552</c:v>
                </c:pt>
              </c:numCache>
            </c:numRef>
          </c:yVal>
          <c:extLst xmlns:c16r2="http://schemas.microsoft.com/office/drawing/2015/06/chart">
            <c:ext xmlns:c16="http://schemas.microsoft.com/office/drawing/2014/chart" uri="{C3380CC4-5D6E-409C-BE32-E72D297353CC}">
              <c16:uniqueId val="{00000001-C701-4FDC-A76D-C1DE060331CB}"/>
            </c:ext>
          </c:extLst>
        </c:ser>
        <c:axId val="156592384"/>
        <c:axId val="156594176"/>
      </c:scatterChart>
      <c:valAx>
        <c:axId val="156592384"/>
        <c:scaling>
          <c:orientation val="minMax"/>
        </c:scaling>
        <c:axPos val="b"/>
        <c:numFmt formatCode="General" sourceLinked="1"/>
        <c:tickLblPos val="nextTo"/>
        <c:crossAx val="156594176"/>
        <c:crosses val="autoZero"/>
        <c:crossBetween val="midCat"/>
      </c:valAx>
      <c:valAx>
        <c:axId val="156594176"/>
        <c:scaling>
          <c:orientation val="minMax"/>
        </c:scaling>
        <c:axPos val="l"/>
        <c:majorGridlines/>
        <c:numFmt formatCode="General" sourceLinked="1"/>
        <c:tickLblPos val="nextTo"/>
        <c:crossAx val="156592384"/>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Střední dráha (cm) v závislosti na rozteči (cm)</a:t>
            </a:r>
          </a:p>
        </c:rich>
      </c:tx>
    </c:title>
    <c:plotArea>
      <c:layout/>
      <c:scatterChart>
        <c:scatterStyle val="lineMarker"/>
        <c:ser>
          <c:idx val="0"/>
          <c:order val="0"/>
          <c:tx>
            <c:strRef>
              <c:f>'výpočet PT'!$J$181</c:f>
              <c:strCache>
                <c:ptCount val="1"/>
                <c:pt idx="0">
                  <c:v>cm betonu</c:v>
                </c:pt>
              </c:strCache>
            </c:strRef>
          </c:tx>
          <c:xVal>
            <c:numRef>
              <c:f>'výpočet PT'!$A$182:$A$188</c:f>
              <c:numCache>
                <c:formatCode>General</c:formatCode>
                <c:ptCount val="7"/>
                <c:pt idx="0">
                  <c:v>5</c:v>
                </c:pt>
                <c:pt idx="1">
                  <c:v>7.5</c:v>
                </c:pt>
                <c:pt idx="2">
                  <c:v>10</c:v>
                </c:pt>
                <c:pt idx="3">
                  <c:v>15</c:v>
                </c:pt>
                <c:pt idx="4">
                  <c:v>20</c:v>
                </c:pt>
                <c:pt idx="5">
                  <c:v>22.5</c:v>
                </c:pt>
                <c:pt idx="6">
                  <c:v>30</c:v>
                </c:pt>
              </c:numCache>
            </c:numRef>
          </c:xVal>
          <c:yVal>
            <c:numRef>
              <c:f>'výpočet PT'!$J$182:$J$188</c:f>
              <c:numCache>
                <c:formatCode>General</c:formatCode>
                <c:ptCount val="7"/>
                <c:pt idx="0">
                  <c:v>2.9032258064516121</c:v>
                </c:pt>
                <c:pt idx="1">
                  <c:v>3.7931034482758612</c:v>
                </c:pt>
                <c:pt idx="2">
                  <c:v>4.814814814814814</c:v>
                </c:pt>
                <c:pt idx="3">
                  <c:v>7.391304347826086</c:v>
                </c:pt>
                <c:pt idx="4">
                  <c:v>10</c:v>
                </c:pt>
                <c:pt idx="5">
                  <c:v>11.276595744680849</c:v>
                </c:pt>
                <c:pt idx="6">
                  <c:v>15.97402597402597</c:v>
                </c:pt>
              </c:numCache>
            </c:numRef>
          </c:yVal>
          <c:extLst xmlns:c16r2="http://schemas.microsoft.com/office/drawing/2015/06/chart">
            <c:ext xmlns:c16="http://schemas.microsoft.com/office/drawing/2014/chart" uri="{C3380CC4-5D6E-409C-BE32-E72D297353CC}">
              <c16:uniqueId val="{00000000-A88F-47FE-82EC-AAD7F1DE2C7D}"/>
            </c:ext>
          </c:extLst>
        </c:ser>
        <c:ser>
          <c:idx val="1"/>
          <c:order val="1"/>
          <c:tx>
            <c:strRef>
              <c:f>'výpočet PT'!$K$181</c:f>
              <c:strCache>
                <c:ptCount val="1"/>
              </c:strCache>
            </c:strRef>
          </c:tx>
          <c:xVal>
            <c:numRef>
              <c:f>'výpočet PT'!$A$182:$A$188</c:f>
              <c:numCache>
                <c:formatCode>General</c:formatCode>
                <c:ptCount val="7"/>
                <c:pt idx="0">
                  <c:v>5</c:v>
                </c:pt>
                <c:pt idx="1">
                  <c:v>7.5</c:v>
                </c:pt>
                <c:pt idx="2">
                  <c:v>10</c:v>
                </c:pt>
                <c:pt idx="3">
                  <c:v>15</c:v>
                </c:pt>
                <c:pt idx="4">
                  <c:v>20</c:v>
                </c:pt>
                <c:pt idx="5">
                  <c:v>22.5</c:v>
                </c:pt>
                <c:pt idx="6">
                  <c:v>30</c:v>
                </c:pt>
              </c:numCache>
            </c:numRef>
          </c:xVal>
          <c:yVal>
            <c:numRef>
              <c:f>'výpočet PT'!$K$182:$K$188</c:f>
              <c:numCache>
                <c:formatCode>General</c:formatCode>
                <c:ptCount val="7"/>
              </c:numCache>
            </c:numRef>
          </c:yVal>
          <c:extLst xmlns:c16r2="http://schemas.microsoft.com/office/drawing/2015/06/chart">
            <c:ext xmlns:c16="http://schemas.microsoft.com/office/drawing/2014/chart" uri="{C3380CC4-5D6E-409C-BE32-E72D297353CC}">
              <c16:uniqueId val="{00000001-A88F-47FE-82EC-AAD7F1DE2C7D}"/>
            </c:ext>
          </c:extLst>
        </c:ser>
        <c:ser>
          <c:idx val="2"/>
          <c:order val="2"/>
          <c:tx>
            <c:strRef>
              <c:f>'výpočet PT'!$L$181</c:f>
              <c:strCache>
                <c:ptCount val="1"/>
                <c:pt idx="0">
                  <c:v>W/(m2K) z listu plošný model</c:v>
                </c:pt>
              </c:strCache>
            </c:strRef>
          </c:tx>
          <c:xVal>
            <c:numRef>
              <c:f>'výpočet PT'!$A$182:$A$188</c:f>
              <c:numCache>
                <c:formatCode>General</c:formatCode>
                <c:ptCount val="7"/>
                <c:pt idx="0">
                  <c:v>5</c:v>
                </c:pt>
                <c:pt idx="1">
                  <c:v>7.5</c:v>
                </c:pt>
                <c:pt idx="2">
                  <c:v>10</c:v>
                </c:pt>
                <c:pt idx="3">
                  <c:v>15</c:v>
                </c:pt>
                <c:pt idx="4">
                  <c:v>20</c:v>
                </c:pt>
                <c:pt idx="5">
                  <c:v>22.5</c:v>
                </c:pt>
                <c:pt idx="6">
                  <c:v>30</c:v>
                </c:pt>
              </c:numCache>
            </c:numRef>
          </c:xVal>
          <c:yVal>
            <c:numRef>
              <c:f>'výpočet PT'!$L$182:$L$188</c:f>
              <c:numCache>
                <c:formatCode>General</c:formatCode>
                <c:ptCount val="7"/>
                <c:pt idx="0">
                  <c:v>8.5000000000000018</c:v>
                </c:pt>
                <c:pt idx="1">
                  <c:v>9.7500000000000036</c:v>
                </c:pt>
                <c:pt idx="2">
                  <c:v>11.000000000000002</c:v>
                </c:pt>
                <c:pt idx="3">
                  <c:v>13.5</c:v>
                </c:pt>
                <c:pt idx="4">
                  <c:v>16.000000000000004</c:v>
                </c:pt>
                <c:pt idx="5">
                  <c:v>17.250000000000004</c:v>
                </c:pt>
                <c:pt idx="6">
                  <c:v>21</c:v>
                </c:pt>
              </c:numCache>
            </c:numRef>
          </c:yVal>
          <c:extLst xmlns:c16r2="http://schemas.microsoft.com/office/drawing/2015/06/chart">
            <c:ext xmlns:c16="http://schemas.microsoft.com/office/drawing/2014/chart" uri="{C3380CC4-5D6E-409C-BE32-E72D297353CC}">
              <c16:uniqueId val="{00000002-A88F-47FE-82EC-AAD7F1DE2C7D}"/>
            </c:ext>
          </c:extLst>
        </c:ser>
        <c:axId val="156636288"/>
        <c:axId val="156637824"/>
      </c:scatterChart>
      <c:valAx>
        <c:axId val="156636288"/>
        <c:scaling>
          <c:orientation val="minMax"/>
        </c:scaling>
        <c:axPos val="b"/>
        <c:numFmt formatCode="General" sourceLinked="1"/>
        <c:tickLblPos val="nextTo"/>
        <c:crossAx val="156637824"/>
        <c:crosses val="autoZero"/>
        <c:crossBetween val="midCat"/>
      </c:valAx>
      <c:valAx>
        <c:axId val="156637824"/>
        <c:scaling>
          <c:orientation val="minMax"/>
        </c:scaling>
        <c:axPos val="l"/>
        <c:majorGridlines/>
        <c:numFmt formatCode="General" sourceLinked="1"/>
        <c:tickLblPos val="nextTo"/>
        <c:crossAx val="15663628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cs-CZ" sz="1000" b="1" i="0" baseline="0"/>
              <a:t>Měrný topný výkon PT  (W/m2K) v závislosti na rozteči (mm)</a:t>
            </a:r>
            <a:endParaRPr lang="cs-CZ" sz="1000" baseline="0"/>
          </a:p>
        </c:rich>
      </c:tx>
    </c:title>
    <c:plotArea>
      <c:layout/>
      <c:scatterChart>
        <c:scatterStyle val="lineMarker"/>
        <c:ser>
          <c:idx val="0"/>
          <c:order val="0"/>
          <c:tx>
            <c:strRef>
              <c:f>'výpočet PT'!$G$164</c:f>
              <c:strCache>
                <c:ptCount val="1"/>
                <c:pt idx="0">
                  <c:v>zdroj - Konárik</c:v>
                </c:pt>
              </c:strCache>
            </c:strRef>
          </c:tx>
          <c:xVal>
            <c:numRef>
              <c:f>'výpočet PT'!$I$149:$L$149</c:f>
              <c:numCache>
                <c:formatCode>General</c:formatCode>
                <c:ptCount val="4"/>
                <c:pt idx="0">
                  <c:v>75</c:v>
                </c:pt>
                <c:pt idx="1">
                  <c:v>150</c:v>
                </c:pt>
                <c:pt idx="2">
                  <c:v>225</c:v>
                </c:pt>
                <c:pt idx="3">
                  <c:v>300</c:v>
                </c:pt>
              </c:numCache>
            </c:numRef>
          </c:xVal>
          <c:yVal>
            <c:numRef>
              <c:f>'výpočet PT'!$I$164:$L$164</c:f>
              <c:numCache>
                <c:formatCode>General</c:formatCode>
                <c:ptCount val="4"/>
                <c:pt idx="0">
                  <c:v>7.5915656565656571</c:v>
                </c:pt>
                <c:pt idx="1">
                  <c:v>6.8768686868686864</c:v>
                </c:pt>
                <c:pt idx="2">
                  <c:v>6.0316666666666663</c:v>
                </c:pt>
                <c:pt idx="3">
                  <c:v>5.2860606060606061</c:v>
                </c:pt>
              </c:numCache>
            </c:numRef>
          </c:yVal>
          <c:extLst xmlns:c16r2="http://schemas.microsoft.com/office/drawing/2015/06/chart">
            <c:ext xmlns:c16="http://schemas.microsoft.com/office/drawing/2014/chart" uri="{C3380CC4-5D6E-409C-BE32-E72D297353CC}">
              <c16:uniqueId val="{00000000-5793-43F1-892D-5AF70A19F335}"/>
            </c:ext>
          </c:extLst>
        </c:ser>
        <c:ser>
          <c:idx val="1"/>
          <c:order val="1"/>
          <c:tx>
            <c:strRef>
              <c:f>'výpočet PT'!$G$165</c:f>
              <c:strCache>
                <c:ptCount val="1"/>
                <c:pt idx="0">
                  <c:v>beton teoreticky</c:v>
                </c:pt>
              </c:strCache>
            </c:strRef>
          </c:tx>
          <c:xVal>
            <c:numRef>
              <c:f>'výpočet PT'!$I$149:$L$149</c:f>
              <c:numCache>
                <c:formatCode>General</c:formatCode>
                <c:ptCount val="4"/>
                <c:pt idx="0">
                  <c:v>75</c:v>
                </c:pt>
                <c:pt idx="1">
                  <c:v>150</c:v>
                </c:pt>
                <c:pt idx="2">
                  <c:v>225</c:v>
                </c:pt>
                <c:pt idx="3">
                  <c:v>300</c:v>
                </c:pt>
              </c:numCache>
            </c:numRef>
          </c:xVal>
          <c:yVal>
            <c:numRef>
              <c:f>'výpočet PT'!$I$165:$L$165</c:f>
              <c:numCache>
                <c:formatCode>General</c:formatCode>
                <c:ptCount val="4"/>
                <c:pt idx="0">
                  <c:v>6.1383067644883003</c:v>
                </c:pt>
                <c:pt idx="1">
                  <c:v>5.1142599885995201</c:v>
                </c:pt>
                <c:pt idx="2">
                  <c:v>4.1608581797750297</c:v>
                </c:pt>
                <c:pt idx="3">
                  <c:v>3.4278027051978399</c:v>
                </c:pt>
              </c:numCache>
            </c:numRef>
          </c:yVal>
          <c:extLst xmlns:c16r2="http://schemas.microsoft.com/office/drawing/2015/06/chart">
            <c:ext xmlns:c16="http://schemas.microsoft.com/office/drawing/2014/chart" uri="{C3380CC4-5D6E-409C-BE32-E72D297353CC}">
              <c16:uniqueId val="{00000001-5793-43F1-892D-5AF70A19F335}"/>
            </c:ext>
          </c:extLst>
        </c:ser>
        <c:ser>
          <c:idx val="2"/>
          <c:order val="2"/>
          <c:tx>
            <c:strRef>
              <c:f>'výpočet PT'!$G$166</c:f>
              <c:strCache>
                <c:ptCount val="1"/>
                <c:pt idx="0">
                  <c:v>keramika</c:v>
                </c:pt>
              </c:strCache>
            </c:strRef>
          </c:tx>
          <c:xVal>
            <c:numRef>
              <c:f>'výpočet PT'!$I$149:$L$149</c:f>
              <c:numCache>
                <c:formatCode>General</c:formatCode>
                <c:ptCount val="4"/>
                <c:pt idx="0">
                  <c:v>75</c:v>
                </c:pt>
                <c:pt idx="1">
                  <c:v>150</c:v>
                </c:pt>
                <c:pt idx="2">
                  <c:v>225</c:v>
                </c:pt>
                <c:pt idx="3">
                  <c:v>300</c:v>
                </c:pt>
              </c:numCache>
            </c:numRef>
          </c:xVal>
          <c:yVal>
            <c:numRef>
              <c:f>'výpočet PT'!$I$166:$L$166</c:f>
              <c:numCache>
                <c:formatCode>General</c:formatCode>
                <c:ptCount val="4"/>
                <c:pt idx="0">
                  <c:v>7.25</c:v>
                </c:pt>
                <c:pt idx="1">
                  <c:v>5.75</c:v>
                </c:pt>
                <c:pt idx="2">
                  <c:v>4.7</c:v>
                </c:pt>
                <c:pt idx="3">
                  <c:v>4</c:v>
                </c:pt>
              </c:numCache>
            </c:numRef>
          </c:yVal>
          <c:extLst xmlns:c16r2="http://schemas.microsoft.com/office/drawing/2015/06/chart">
            <c:ext xmlns:c16="http://schemas.microsoft.com/office/drawing/2014/chart" uri="{C3380CC4-5D6E-409C-BE32-E72D297353CC}">
              <c16:uniqueId val="{00000002-5793-43F1-892D-5AF70A19F335}"/>
            </c:ext>
          </c:extLst>
        </c:ser>
        <c:ser>
          <c:idx val="3"/>
          <c:order val="3"/>
          <c:tx>
            <c:strRef>
              <c:f>'výpočet PT'!$G$167</c:f>
              <c:strCache>
                <c:ptCount val="1"/>
                <c:pt idx="0">
                  <c:v>parkety</c:v>
                </c:pt>
              </c:strCache>
            </c:strRef>
          </c:tx>
          <c:xVal>
            <c:numRef>
              <c:f>'výpočet PT'!$I$149:$L$149</c:f>
              <c:numCache>
                <c:formatCode>General</c:formatCode>
                <c:ptCount val="4"/>
                <c:pt idx="0">
                  <c:v>75</c:v>
                </c:pt>
                <c:pt idx="1">
                  <c:v>150</c:v>
                </c:pt>
                <c:pt idx="2">
                  <c:v>225</c:v>
                </c:pt>
                <c:pt idx="3">
                  <c:v>300</c:v>
                </c:pt>
              </c:numCache>
            </c:numRef>
          </c:xVal>
          <c:yVal>
            <c:numRef>
              <c:f>'výpočet PT'!$I$167:$L$167</c:f>
              <c:numCache>
                <c:formatCode>General</c:formatCode>
                <c:ptCount val="4"/>
                <c:pt idx="0">
                  <c:v>5.15</c:v>
                </c:pt>
                <c:pt idx="1">
                  <c:v>4.3</c:v>
                </c:pt>
                <c:pt idx="2">
                  <c:v>3.55</c:v>
                </c:pt>
                <c:pt idx="3">
                  <c:v>3</c:v>
                </c:pt>
              </c:numCache>
            </c:numRef>
          </c:yVal>
          <c:extLst xmlns:c16r2="http://schemas.microsoft.com/office/drawing/2015/06/chart">
            <c:ext xmlns:c16="http://schemas.microsoft.com/office/drawing/2014/chart" uri="{C3380CC4-5D6E-409C-BE32-E72D297353CC}">
              <c16:uniqueId val="{00000003-5793-43F1-892D-5AF70A19F335}"/>
            </c:ext>
          </c:extLst>
        </c:ser>
        <c:ser>
          <c:idx val="4"/>
          <c:order val="4"/>
          <c:tx>
            <c:strRef>
              <c:f>'výpočet PT'!$G$168</c:f>
              <c:strCache>
                <c:ptCount val="1"/>
                <c:pt idx="0">
                  <c:v>lehký koberec</c:v>
                </c:pt>
              </c:strCache>
            </c:strRef>
          </c:tx>
          <c:xVal>
            <c:numRef>
              <c:f>'výpočet PT'!$I$149:$L$149</c:f>
              <c:numCache>
                <c:formatCode>General</c:formatCode>
                <c:ptCount val="4"/>
                <c:pt idx="0">
                  <c:v>75</c:v>
                </c:pt>
                <c:pt idx="1">
                  <c:v>150</c:v>
                </c:pt>
                <c:pt idx="2">
                  <c:v>225</c:v>
                </c:pt>
                <c:pt idx="3">
                  <c:v>300</c:v>
                </c:pt>
              </c:numCache>
            </c:numRef>
          </c:xVal>
          <c:yVal>
            <c:numRef>
              <c:f>'výpočet PT'!$I$168:$L$168</c:f>
              <c:numCache>
                <c:formatCode>General</c:formatCode>
                <c:ptCount val="4"/>
                <c:pt idx="0">
                  <c:v>4</c:v>
                </c:pt>
                <c:pt idx="1">
                  <c:v>3.5</c:v>
                </c:pt>
                <c:pt idx="2">
                  <c:v>2.95</c:v>
                </c:pt>
                <c:pt idx="3">
                  <c:v>2.5499999999999998</c:v>
                </c:pt>
              </c:numCache>
            </c:numRef>
          </c:yVal>
          <c:extLst xmlns:c16r2="http://schemas.microsoft.com/office/drawing/2015/06/chart">
            <c:ext xmlns:c16="http://schemas.microsoft.com/office/drawing/2014/chart" uri="{C3380CC4-5D6E-409C-BE32-E72D297353CC}">
              <c16:uniqueId val="{00000004-5793-43F1-892D-5AF70A19F335}"/>
            </c:ext>
          </c:extLst>
        </c:ser>
        <c:ser>
          <c:idx val="5"/>
          <c:order val="5"/>
          <c:tx>
            <c:strRef>
              <c:f>'výpočet PT'!$G$169</c:f>
              <c:strCache>
                <c:ptCount val="1"/>
                <c:pt idx="0">
                  <c:v>tlustý koberec</c:v>
                </c:pt>
              </c:strCache>
            </c:strRef>
          </c:tx>
          <c:xVal>
            <c:numRef>
              <c:f>'výpočet PT'!$I$149:$L$149</c:f>
              <c:numCache>
                <c:formatCode>General</c:formatCode>
                <c:ptCount val="4"/>
                <c:pt idx="0">
                  <c:v>75</c:v>
                </c:pt>
                <c:pt idx="1">
                  <c:v>150</c:v>
                </c:pt>
                <c:pt idx="2">
                  <c:v>225</c:v>
                </c:pt>
                <c:pt idx="3">
                  <c:v>300</c:v>
                </c:pt>
              </c:numCache>
            </c:numRef>
          </c:xVal>
          <c:yVal>
            <c:numRef>
              <c:f>'výpočet PT'!$I$169:$L$169</c:f>
              <c:numCache>
                <c:formatCode>General</c:formatCode>
                <c:ptCount val="4"/>
                <c:pt idx="0">
                  <c:v>3.4</c:v>
                </c:pt>
                <c:pt idx="1">
                  <c:v>2.9</c:v>
                </c:pt>
                <c:pt idx="2">
                  <c:v>2.5499999999999998</c:v>
                </c:pt>
                <c:pt idx="3">
                  <c:v>2.15</c:v>
                </c:pt>
              </c:numCache>
            </c:numRef>
          </c:yVal>
          <c:extLst xmlns:c16r2="http://schemas.microsoft.com/office/drawing/2015/06/chart">
            <c:ext xmlns:c16="http://schemas.microsoft.com/office/drawing/2014/chart" uri="{C3380CC4-5D6E-409C-BE32-E72D297353CC}">
              <c16:uniqueId val="{00000005-5793-43F1-892D-5AF70A19F335}"/>
            </c:ext>
          </c:extLst>
        </c:ser>
        <c:axId val="156698880"/>
        <c:axId val="156712960"/>
      </c:scatterChart>
      <c:valAx>
        <c:axId val="156698880"/>
        <c:scaling>
          <c:orientation val="minMax"/>
          <c:max val="300"/>
        </c:scaling>
        <c:axPos val="b"/>
        <c:majorGridlines/>
        <c:numFmt formatCode="General" sourceLinked="1"/>
        <c:tickLblPos val="nextTo"/>
        <c:crossAx val="156712960"/>
        <c:crosses val="autoZero"/>
        <c:crossBetween val="midCat"/>
        <c:majorUnit val="75"/>
      </c:valAx>
      <c:valAx>
        <c:axId val="156712960"/>
        <c:scaling>
          <c:orientation val="minMax"/>
        </c:scaling>
        <c:axPos val="l"/>
        <c:majorGridlines/>
        <c:numFmt formatCode="General" sourceLinked="1"/>
        <c:tickLblPos val="nextTo"/>
        <c:crossAx val="156698880"/>
        <c:crosses val="autoZero"/>
        <c:crossBetween val="midCat"/>
        <c:majorUnit val="0.5"/>
        <c:minorUnit val="0.1"/>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starší Giacomini999 tlakoveztraty999.pdf</a:t>
            </a:r>
            <a:endParaRPr lang="en-US" sz="1000" baseline="0"/>
          </a:p>
        </c:rich>
      </c:tx>
    </c:title>
    <c:plotArea>
      <c:layout/>
      <c:scatterChart>
        <c:scatterStyle val="lineMarker"/>
        <c:ser>
          <c:idx val="0"/>
          <c:order val="0"/>
          <c:tx>
            <c:strRef>
              <c:f>'výpočet PT'!$J$246</c:f>
              <c:strCache>
                <c:ptCount val="1"/>
              </c:strCache>
            </c:strRef>
          </c:tx>
          <c:xVal>
            <c:numRef>
              <c:f>'výpočet PT'!$F$247:$F$310</c:f>
              <c:numCache>
                <c:formatCode>General</c:formatCode>
                <c:ptCount val="64"/>
                <c:pt idx="0">
                  <c:v>60</c:v>
                </c:pt>
                <c:pt idx="1">
                  <c:v>100</c:v>
                </c:pt>
                <c:pt idx="2">
                  <c:v>200</c:v>
                </c:pt>
                <c:pt idx="3">
                  <c:v>500</c:v>
                </c:pt>
                <c:pt idx="4">
                  <c:v>1000</c:v>
                </c:pt>
                <c:pt idx="5">
                  <c:v>3000</c:v>
                </c:pt>
                <c:pt idx="7">
                  <c:v>60</c:v>
                </c:pt>
                <c:pt idx="8">
                  <c:v>100</c:v>
                </c:pt>
                <c:pt idx="9">
                  <c:v>200</c:v>
                </c:pt>
                <c:pt idx="10">
                  <c:v>500</c:v>
                </c:pt>
                <c:pt idx="11">
                  <c:v>1000</c:v>
                </c:pt>
                <c:pt idx="12">
                  <c:v>3000</c:v>
                </c:pt>
                <c:pt idx="14">
                  <c:v>60</c:v>
                </c:pt>
                <c:pt idx="15">
                  <c:v>100</c:v>
                </c:pt>
                <c:pt idx="16">
                  <c:v>200</c:v>
                </c:pt>
                <c:pt idx="17">
                  <c:v>500</c:v>
                </c:pt>
                <c:pt idx="18">
                  <c:v>1000</c:v>
                </c:pt>
                <c:pt idx="19">
                  <c:v>3000</c:v>
                </c:pt>
                <c:pt idx="21">
                  <c:v>60</c:v>
                </c:pt>
                <c:pt idx="22">
                  <c:v>100</c:v>
                </c:pt>
                <c:pt idx="23">
                  <c:v>200</c:v>
                </c:pt>
                <c:pt idx="24">
                  <c:v>500</c:v>
                </c:pt>
                <c:pt idx="25">
                  <c:v>1000</c:v>
                </c:pt>
                <c:pt idx="26">
                  <c:v>3000</c:v>
                </c:pt>
                <c:pt idx="28">
                  <c:v>60</c:v>
                </c:pt>
                <c:pt idx="29">
                  <c:v>100</c:v>
                </c:pt>
                <c:pt idx="30">
                  <c:v>200</c:v>
                </c:pt>
                <c:pt idx="31">
                  <c:v>500</c:v>
                </c:pt>
                <c:pt idx="32">
                  <c:v>1000</c:v>
                </c:pt>
                <c:pt idx="33">
                  <c:v>3000</c:v>
                </c:pt>
                <c:pt idx="35">
                  <c:v>60</c:v>
                </c:pt>
                <c:pt idx="36">
                  <c:v>100</c:v>
                </c:pt>
                <c:pt idx="37">
                  <c:v>200</c:v>
                </c:pt>
                <c:pt idx="38">
                  <c:v>500</c:v>
                </c:pt>
                <c:pt idx="39">
                  <c:v>1000</c:v>
                </c:pt>
                <c:pt idx="40">
                  <c:v>3000</c:v>
                </c:pt>
                <c:pt idx="42">
                  <c:v>60</c:v>
                </c:pt>
                <c:pt idx="43">
                  <c:v>100</c:v>
                </c:pt>
                <c:pt idx="44">
                  <c:v>200</c:v>
                </c:pt>
                <c:pt idx="45">
                  <c:v>500</c:v>
                </c:pt>
                <c:pt idx="46">
                  <c:v>1000</c:v>
                </c:pt>
                <c:pt idx="47">
                  <c:v>3000</c:v>
                </c:pt>
                <c:pt idx="49">
                  <c:v>62.499335907335904</c:v>
                </c:pt>
                <c:pt idx="50">
                  <c:v>74.999203088803085</c:v>
                </c:pt>
                <c:pt idx="51">
                  <c:v>87.499070270270266</c:v>
                </c:pt>
                <c:pt idx="52">
                  <c:v>93.749003861003871</c:v>
                </c:pt>
                <c:pt idx="53">
                  <c:v>99.998937451737461</c:v>
                </c:pt>
                <c:pt idx="54">
                  <c:v>124.99867181467181</c:v>
                </c:pt>
                <c:pt idx="55">
                  <c:v>162.49827335907332</c:v>
                </c:pt>
                <c:pt idx="57">
                  <c:v>36.249614826254827</c:v>
                </c:pt>
                <c:pt idx="58">
                  <c:v>43.499537791505801</c:v>
                </c:pt>
                <c:pt idx="59">
                  <c:v>50.749460756756761</c:v>
                </c:pt>
                <c:pt idx="60">
                  <c:v>54.374422239382241</c:v>
                </c:pt>
                <c:pt idx="61">
                  <c:v>57.999383722007728</c:v>
                </c:pt>
                <c:pt idx="62">
                  <c:v>72.499229652509655</c:v>
                </c:pt>
                <c:pt idx="63">
                  <c:v>94.248998548262549</c:v>
                </c:pt>
              </c:numCache>
            </c:numRef>
          </c:xVal>
          <c:yVal>
            <c:numRef>
              <c:f>'výpočet PT'!$J$247:$J$310</c:f>
              <c:numCache>
                <c:formatCode>General</c:formatCode>
                <c:ptCount val="64"/>
                <c:pt idx="0">
                  <c:v>8.9474133362842547</c:v>
                </c:pt>
                <c:pt idx="1">
                  <c:v>21.894675365426028</c:v>
                </c:pt>
                <c:pt idx="2">
                  <c:v>73.815686691954014</c:v>
                </c:pt>
                <c:pt idx="3">
                  <c:v>369.41262914718806</c:v>
                </c:pt>
                <c:pt idx="4">
                  <c:v>1256.2830895555792</c:v>
                </c:pt>
                <c:pt idx="5">
                  <c:v>8938.9344339510808</c:v>
                </c:pt>
                <c:pt idx="7">
                  <c:v>3.761838346416353</c:v>
                </c:pt>
                <c:pt idx="8">
                  <c:v>9.2027541531383417</c:v>
                </c:pt>
                <c:pt idx="9">
                  <c:v>31.004380946620774</c:v>
                </c:pt>
                <c:pt idx="10">
                  <c:v>154.84580649171883</c:v>
                </c:pt>
                <c:pt idx="11">
                  <c:v>524.90970734125449</c:v>
                </c:pt>
                <c:pt idx="12">
                  <c:v>3694.9859371703674</c:v>
                </c:pt>
                <c:pt idx="14">
                  <c:v>1.8083825112626359</c:v>
                </c:pt>
                <c:pt idx="15">
                  <c:v>4.4231672276407581</c:v>
                </c:pt>
                <c:pt idx="16">
                  <c:v>14.895445316170667</c:v>
                </c:pt>
                <c:pt idx="17">
                  <c:v>74.299652328279151</c:v>
                </c:pt>
                <c:pt idx="18">
                  <c:v>251.36546095733297</c:v>
                </c:pt>
                <c:pt idx="19">
                  <c:v>1757.063897320164</c:v>
                </c:pt>
                <c:pt idx="21">
                  <c:v>1.3029410787625955</c:v>
                </c:pt>
                <c:pt idx="22">
                  <c:v>3.1866997784416276</c:v>
                </c:pt>
                <c:pt idx="23">
                  <c:v>10.72988284880523</c:v>
                </c:pt>
                <c:pt idx="24">
                  <c:v>53.497422633259063</c:v>
                </c:pt>
                <c:pt idx="25">
                  <c:v>180.85778028318882</c:v>
                </c:pt>
                <c:pt idx="26">
                  <c:v>1260.9146246868936</c:v>
                </c:pt>
                <c:pt idx="28">
                  <c:v>0.95886047917155937</c:v>
                </c:pt>
                <c:pt idx="29">
                  <c:v>2.3450382522562436</c:v>
                </c:pt>
                <c:pt idx="30">
                  <c:v>7.8949504176643632</c:v>
                </c:pt>
                <c:pt idx="31">
                  <c:v>39.348369050824402</c:v>
                </c:pt>
                <c:pt idx="32">
                  <c:v>132.9448698888545</c:v>
                </c:pt>
                <c:pt idx="33">
                  <c:v>924.85428154178521</c:v>
                </c:pt>
                <c:pt idx="35">
                  <c:v>0.33215958686221192</c:v>
                </c:pt>
                <c:pt idx="36">
                  <c:v>0.81223948820281533</c:v>
                </c:pt>
                <c:pt idx="37">
                  <c:v>2.7336390115168085</c:v>
                </c:pt>
                <c:pt idx="38">
                  <c:v>13.611197382324232</c:v>
                </c:pt>
                <c:pt idx="39">
                  <c:v>45.914941762123526</c:v>
                </c:pt>
                <c:pt idx="40">
                  <c:v>317.53881375089429</c:v>
                </c:pt>
                <c:pt idx="42">
                  <c:v>9.5510992012774118E-2</c:v>
                </c:pt>
                <c:pt idx="43">
                  <c:v>0.23353343464840262</c:v>
                </c:pt>
                <c:pt idx="44">
                  <c:v>0.78578260364342989</c:v>
                </c:pt>
                <c:pt idx="45">
                  <c:v>3.9097476166221696</c:v>
                </c:pt>
                <c:pt idx="46">
                  <c:v>13.173441178740848</c:v>
                </c:pt>
                <c:pt idx="47">
                  <c:v>90.699109024059453</c:v>
                </c:pt>
                <c:pt idx="49">
                  <c:v>9.7399316440690757</c:v>
                </c:pt>
                <c:pt idx="50">
                  <c:v>5.7089318416759776</c:v>
                </c:pt>
                <c:pt idx="51">
                  <c:v>3.6341325572662044</c:v>
                </c:pt>
                <c:pt idx="52">
                  <c:v>2.9689885308599169</c:v>
                </c:pt>
                <c:pt idx="53">
                  <c:v>2.4574481296965702</c:v>
                </c:pt>
                <c:pt idx="54">
                  <c:v>1.2780210930159452</c:v>
                </c:pt>
                <c:pt idx="55">
                  <c:v>0.59249405820845558</c:v>
                </c:pt>
                <c:pt idx="57">
                  <c:v>3.7956515633315586</c:v>
                </c:pt>
                <c:pt idx="58">
                  <c:v>2.2247708568884752</c:v>
                </c:pt>
                <c:pt idx="59">
                  <c:v>1.4162215328011143</c:v>
                </c:pt>
                <c:pt idx="60">
                  <c:v>1.1570148919406513</c:v>
                </c:pt>
                <c:pt idx="61">
                  <c:v>0.9576675870172916</c:v>
                </c:pt>
                <c:pt idx="62">
                  <c:v>0.49804484640613966</c:v>
                </c:pt>
                <c:pt idx="63">
                  <c:v>0.23089494674975519</c:v>
                </c:pt>
              </c:numCache>
            </c:numRef>
          </c:yVal>
          <c:extLst xmlns:c16r2="http://schemas.microsoft.com/office/drawing/2015/06/chart">
            <c:ext xmlns:c16="http://schemas.microsoft.com/office/drawing/2014/chart" uri="{C3380CC4-5D6E-409C-BE32-E72D297353CC}">
              <c16:uniqueId val="{00000000-14AC-46EF-8707-9F4019742D4F}"/>
            </c:ext>
          </c:extLst>
        </c:ser>
        <c:axId val="156736896"/>
        <c:axId val="156755072"/>
      </c:scatterChart>
      <c:valAx>
        <c:axId val="156736896"/>
        <c:scaling>
          <c:logBase val="10"/>
          <c:orientation val="minMax"/>
          <c:max val="3000"/>
          <c:min val="60"/>
        </c:scaling>
        <c:axPos val="b"/>
        <c:numFmt formatCode="General" sourceLinked="1"/>
        <c:tickLblPos val="nextTo"/>
        <c:crossAx val="156755072"/>
        <c:crosses val="autoZero"/>
        <c:crossBetween val="midCat"/>
      </c:valAx>
      <c:valAx>
        <c:axId val="156755072"/>
        <c:scaling>
          <c:logBase val="10"/>
          <c:orientation val="minMax"/>
          <c:max val="600"/>
          <c:min val="10"/>
        </c:scaling>
        <c:axPos val="l"/>
        <c:majorGridlines/>
        <c:numFmt formatCode="General" sourceLinked="1"/>
        <c:tickLblPos val="nextTo"/>
        <c:crossAx val="156736896"/>
        <c:crosses val="autoZero"/>
        <c:crossBetween val="midCat"/>
      </c:valAx>
      <c:spPr>
        <a:blipFill>
          <a:blip xmlns:r="http://schemas.openxmlformats.org/officeDocument/2006/relationships" r:embed="rId1"/>
          <a:stretch>
            <a:fillRect/>
          </a:stretch>
        </a:blipFill>
      </c:spPr>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novy giacomini 50°C</a:t>
            </a:r>
            <a:endParaRPr lang="en-US" sz="1000" baseline="0"/>
          </a:p>
        </c:rich>
      </c:tx>
    </c:title>
    <c:plotArea>
      <c:layout/>
      <c:scatterChart>
        <c:scatterStyle val="lineMarker"/>
        <c:ser>
          <c:idx val="0"/>
          <c:order val="0"/>
          <c:tx>
            <c:strRef>
              <c:f>'výpočet PT'!$J$246</c:f>
              <c:strCache>
                <c:ptCount val="1"/>
              </c:strCache>
            </c:strRef>
          </c:tx>
          <c:xVal>
            <c:numRef>
              <c:f>'výpočet PT'!$F$254:$F$309</c:f>
              <c:numCache>
                <c:formatCode>General</c:formatCode>
                <c:ptCount val="56"/>
                <c:pt idx="0">
                  <c:v>60</c:v>
                </c:pt>
                <c:pt idx="1">
                  <c:v>100</c:v>
                </c:pt>
                <c:pt idx="2">
                  <c:v>200</c:v>
                </c:pt>
                <c:pt idx="3">
                  <c:v>500</c:v>
                </c:pt>
                <c:pt idx="4">
                  <c:v>1000</c:v>
                </c:pt>
                <c:pt idx="5">
                  <c:v>3000</c:v>
                </c:pt>
                <c:pt idx="7">
                  <c:v>60</c:v>
                </c:pt>
                <c:pt idx="8">
                  <c:v>100</c:v>
                </c:pt>
                <c:pt idx="9">
                  <c:v>200</c:v>
                </c:pt>
                <c:pt idx="10">
                  <c:v>500</c:v>
                </c:pt>
                <c:pt idx="11">
                  <c:v>1000</c:v>
                </c:pt>
                <c:pt idx="12">
                  <c:v>3000</c:v>
                </c:pt>
                <c:pt idx="14">
                  <c:v>60</c:v>
                </c:pt>
                <c:pt idx="15">
                  <c:v>100</c:v>
                </c:pt>
                <c:pt idx="16">
                  <c:v>200</c:v>
                </c:pt>
                <c:pt idx="17">
                  <c:v>500</c:v>
                </c:pt>
                <c:pt idx="18">
                  <c:v>1000</c:v>
                </c:pt>
                <c:pt idx="19">
                  <c:v>3000</c:v>
                </c:pt>
                <c:pt idx="21">
                  <c:v>60</c:v>
                </c:pt>
                <c:pt idx="22">
                  <c:v>100</c:v>
                </c:pt>
                <c:pt idx="23">
                  <c:v>200</c:v>
                </c:pt>
                <c:pt idx="24">
                  <c:v>500</c:v>
                </c:pt>
                <c:pt idx="25">
                  <c:v>1000</c:v>
                </c:pt>
                <c:pt idx="26">
                  <c:v>3000</c:v>
                </c:pt>
                <c:pt idx="28">
                  <c:v>60</c:v>
                </c:pt>
                <c:pt idx="29">
                  <c:v>100</c:v>
                </c:pt>
                <c:pt idx="30">
                  <c:v>200</c:v>
                </c:pt>
                <c:pt idx="31">
                  <c:v>500</c:v>
                </c:pt>
                <c:pt idx="32">
                  <c:v>1000</c:v>
                </c:pt>
                <c:pt idx="33">
                  <c:v>3000</c:v>
                </c:pt>
                <c:pt idx="35">
                  <c:v>60</c:v>
                </c:pt>
                <c:pt idx="36">
                  <c:v>100</c:v>
                </c:pt>
                <c:pt idx="37">
                  <c:v>200</c:v>
                </c:pt>
                <c:pt idx="38">
                  <c:v>500</c:v>
                </c:pt>
                <c:pt idx="39">
                  <c:v>1000</c:v>
                </c:pt>
                <c:pt idx="40">
                  <c:v>3000</c:v>
                </c:pt>
                <c:pt idx="42">
                  <c:v>62.499335907335904</c:v>
                </c:pt>
                <c:pt idx="43">
                  <c:v>74.999203088803085</c:v>
                </c:pt>
                <c:pt idx="44">
                  <c:v>87.499070270270266</c:v>
                </c:pt>
                <c:pt idx="45">
                  <c:v>93.749003861003871</c:v>
                </c:pt>
                <c:pt idx="46">
                  <c:v>99.998937451737461</c:v>
                </c:pt>
                <c:pt idx="47">
                  <c:v>124.99867181467181</c:v>
                </c:pt>
                <c:pt idx="48">
                  <c:v>162.49827335907332</c:v>
                </c:pt>
                <c:pt idx="50">
                  <c:v>36.249614826254827</c:v>
                </c:pt>
                <c:pt idx="51">
                  <c:v>43.499537791505801</c:v>
                </c:pt>
                <c:pt idx="52">
                  <c:v>50.749460756756761</c:v>
                </c:pt>
                <c:pt idx="53">
                  <c:v>54.374422239382241</c:v>
                </c:pt>
                <c:pt idx="54">
                  <c:v>57.999383722007728</c:v>
                </c:pt>
                <c:pt idx="55">
                  <c:v>72.499229652509655</c:v>
                </c:pt>
              </c:numCache>
            </c:numRef>
          </c:xVal>
          <c:yVal>
            <c:numRef>
              <c:f>'výpočet PT'!$J$254:$J$309</c:f>
              <c:numCache>
                <c:formatCode>General</c:formatCode>
                <c:ptCount val="56"/>
                <c:pt idx="0">
                  <c:v>3.761838346416353</c:v>
                </c:pt>
                <c:pt idx="1">
                  <c:v>9.2027541531383417</c:v>
                </c:pt>
                <c:pt idx="2">
                  <c:v>31.004380946620774</c:v>
                </c:pt>
                <c:pt idx="3">
                  <c:v>154.84580649171883</c:v>
                </c:pt>
                <c:pt idx="4">
                  <c:v>524.90970734125449</c:v>
                </c:pt>
                <c:pt idx="5">
                  <c:v>3694.9859371703674</c:v>
                </c:pt>
                <c:pt idx="7">
                  <c:v>1.8083825112626359</c:v>
                </c:pt>
                <c:pt idx="8">
                  <c:v>4.4231672276407581</c:v>
                </c:pt>
                <c:pt idx="9">
                  <c:v>14.895445316170667</c:v>
                </c:pt>
                <c:pt idx="10">
                  <c:v>74.299652328279151</c:v>
                </c:pt>
                <c:pt idx="11">
                  <c:v>251.36546095733297</c:v>
                </c:pt>
                <c:pt idx="12">
                  <c:v>1757.063897320164</c:v>
                </c:pt>
                <c:pt idx="14">
                  <c:v>1.3029410787625955</c:v>
                </c:pt>
                <c:pt idx="15">
                  <c:v>3.1866997784416276</c:v>
                </c:pt>
                <c:pt idx="16">
                  <c:v>10.72988284880523</c:v>
                </c:pt>
                <c:pt idx="17">
                  <c:v>53.497422633259063</c:v>
                </c:pt>
                <c:pt idx="18">
                  <c:v>180.85778028318882</c:v>
                </c:pt>
                <c:pt idx="19">
                  <c:v>1260.9146246868936</c:v>
                </c:pt>
                <c:pt idx="21">
                  <c:v>0.95886047917155937</c:v>
                </c:pt>
                <c:pt idx="22">
                  <c:v>2.3450382522562436</c:v>
                </c:pt>
                <c:pt idx="23">
                  <c:v>7.8949504176643632</c:v>
                </c:pt>
                <c:pt idx="24">
                  <c:v>39.348369050824402</c:v>
                </c:pt>
                <c:pt idx="25">
                  <c:v>132.9448698888545</c:v>
                </c:pt>
                <c:pt idx="26">
                  <c:v>924.85428154178521</c:v>
                </c:pt>
                <c:pt idx="28">
                  <c:v>0.33215958686221192</c:v>
                </c:pt>
                <c:pt idx="29">
                  <c:v>0.81223948820281533</c:v>
                </c:pt>
                <c:pt idx="30">
                  <c:v>2.7336390115168085</c:v>
                </c:pt>
                <c:pt idx="31">
                  <c:v>13.611197382324232</c:v>
                </c:pt>
                <c:pt idx="32">
                  <c:v>45.914941762123526</c:v>
                </c:pt>
                <c:pt idx="33">
                  <c:v>317.53881375089429</c:v>
                </c:pt>
                <c:pt idx="35">
                  <c:v>9.5510992012774118E-2</c:v>
                </c:pt>
                <c:pt idx="36">
                  <c:v>0.23353343464840262</c:v>
                </c:pt>
                <c:pt idx="37">
                  <c:v>0.78578260364342989</c:v>
                </c:pt>
                <c:pt idx="38">
                  <c:v>3.9097476166221696</c:v>
                </c:pt>
                <c:pt idx="39">
                  <c:v>13.173441178740848</c:v>
                </c:pt>
                <c:pt idx="40">
                  <c:v>90.699109024059453</c:v>
                </c:pt>
                <c:pt idx="42">
                  <c:v>9.7399316440690757</c:v>
                </c:pt>
                <c:pt idx="43">
                  <c:v>5.7089318416759776</c:v>
                </c:pt>
                <c:pt idx="44">
                  <c:v>3.6341325572662044</c:v>
                </c:pt>
                <c:pt idx="45">
                  <c:v>2.9689885308599169</c:v>
                </c:pt>
                <c:pt idx="46">
                  <c:v>2.4574481296965702</c:v>
                </c:pt>
                <c:pt idx="47">
                  <c:v>1.2780210930159452</c:v>
                </c:pt>
                <c:pt idx="48">
                  <c:v>0.59249405820845558</c:v>
                </c:pt>
                <c:pt idx="50">
                  <c:v>3.7956515633315586</c:v>
                </c:pt>
                <c:pt idx="51">
                  <c:v>2.2247708568884752</c:v>
                </c:pt>
                <c:pt idx="52">
                  <c:v>1.4162215328011143</c:v>
                </c:pt>
                <c:pt idx="53">
                  <c:v>1.1570148919406513</c:v>
                </c:pt>
                <c:pt idx="54">
                  <c:v>0.9576675870172916</c:v>
                </c:pt>
                <c:pt idx="55">
                  <c:v>0.49804484640613966</c:v>
                </c:pt>
              </c:numCache>
            </c:numRef>
          </c:yVal>
          <c:extLst xmlns:c16r2="http://schemas.microsoft.com/office/drawing/2015/06/chart">
            <c:ext xmlns:c16="http://schemas.microsoft.com/office/drawing/2014/chart" uri="{C3380CC4-5D6E-409C-BE32-E72D297353CC}">
              <c16:uniqueId val="{00000000-75E6-4D4A-86AC-1DF9956B26B9}"/>
            </c:ext>
          </c:extLst>
        </c:ser>
        <c:ser>
          <c:idx val="1"/>
          <c:order val="1"/>
          <c:tx>
            <c:strRef>
              <c:f>'výpočet PT'!$K$246</c:f>
              <c:strCache>
                <c:ptCount val="1"/>
                <c:pt idx="0">
                  <c:v>mm H2O laminární</c:v>
                </c:pt>
              </c:strCache>
            </c:strRef>
          </c:tx>
          <c:xVal>
            <c:numRef>
              <c:f>'výpočet PT'!$F$254:$F$309</c:f>
              <c:numCache>
                <c:formatCode>General</c:formatCode>
                <c:ptCount val="56"/>
                <c:pt idx="0">
                  <c:v>60</c:v>
                </c:pt>
                <c:pt idx="1">
                  <c:v>100</c:v>
                </c:pt>
                <c:pt idx="2">
                  <c:v>200</c:v>
                </c:pt>
                <c:pt idx="3">
                  <c:v>500</c:v>
                </c:pt>
                <c:pt idx="4">
                  <c:v>1000</c:v>
                </c:pt>
                <c:pt idx="5">
                  <c:v>3000</c:v>
                </c:pt>
                <c:pt idx="7">
                  <c:v>60</c:v>
                </c:pt>
                <c:pt idx="8">
                  <c:v>100</c:v>
                </c:pt>
                <c:pt idx="9">
                  <c:v>200</c:v>
                </c:pt>
                <c:pt idx="10">
                  <c:v>500</c:v>
                </c:pt>
                <c:pt idx="11">
                  <c:v>1000</c:v>
                </c:pt>
                <c:pt idx="12">
                  <c:v>3000</c:v>
                </c:pt>
                <c:pt idx="14">
                  <c:v>60</c:v>
                </c:pt>
                <c:pt idx="15">
                  <c:v>100</c:v>
                </c:pt>
                <c:pt idx="16">
                  <c:v>200</c:v>
                </c:pt>
                <c:pt idx="17">
                  <c:v>500</c:v>
                </c:pt>
                <c:pt idx="18">
                  <c:v>1000</c:v>
                </c:pt>
                <c:pt idx="19">
                  <c:v>3000</c:v>
                </c:pt>
                <c:pt idx="21">
                  <c:v>60</c:v>
                </c:pt>
                <c:pt idx="22">
                  <c:v>100</c:v>
                </c:pt>
                <c:pt idx="23">
                  <c:v>200</c:v>
                </c:pt>
                <c:pt idx="24">
                  <c:v>500</c:v>
                </c:pt>
                <c:pt idx="25">
                  <c:v>1000</c:v>
                </c:pt>
                <c:pt idx="26">
                  <c:v>3000</c:v>
                </c:pt>
                <c:pt idx="28">
                  <c:v>60</c:v>
                </c:pt>
                <c:pt idx="29">
                  <c:v>100</c:v>
                </c:pt>
                <c:pt idx="30">
                  <c:v>200</c:v>
                </c:pt>
                <c:pt idx="31">
                  <c:v>500</c:v>
                </c:pt>
                <c:pt idx="32">
                  <c:v>1000</c:v>
                </c:pt>
                <c:pt idx="33">
                  <c:v>3000</c:v>
                </c:pt>
                <c:pt idx="35">
                  <c:v>60</c:v>
                </c:pt>
                <c:pt idx="36">
                  <c:v>100</c:v>
                </c:pt>
                <c:pt idx="37">
                  <c:v>200</c:v>
                </c:pt>
                <c:pt idx="38">
                  <c:v>500</c:v>
                </c:pt>
                <c:pt idx="39">
                  <c:v>1000</c:v>
                </c:pt>
                <c:pt idx="40">
                  <c:v>3000</c:v>
                </c:pt>
                <c:pt idx="42">
                  <c:v>62.499335907335904</c:v>
                </c:pt>
                <c:pt idx="43">
                  <c:v>74.999203088803085</c:v>
                </c:pt>
                <c:pt idx="44">
                  <c:v>87.499070270270266</c:v>
                </c:pt>
                <c:pt idx="45">
                  <c:v>93.749003861003871</c:v>
                </c:pt>
                <c:pt idx="46">
                  <c:v>99.998937451737461</c:v>
                </c:pt>
                <c:pt idx="47">
                  <c:v>124.99867181467181</c:v>
                </c:pt>
                <c:pt idx="48">
                  <c:v>162.49827335907332</c:v>
                </c:pt>
                <c:pt idx="50">
                  <c:v>36.249614826254827</c:v>
                </c:pt>
                <c:pt idx="51">
                  <c:v>43.499537791505801</c:v>
                </c:pt>
                <c:pt idx="52">
                  <c:v>50.749460756756761</c:v>
                </c:pt>
                <c:pt idx="53">
                  <c:v>54.374422239382241</c:v>
                </c:pt>
                <c:pt idx="54">
                  <c:v>57.999383722007728</c:v>
                </c:pt>
                <c:pt idx="55">
                  <c:v>72.499229652509655</c:v>
                </c:pt>
              </c:numCache>
            </c:numRef>
          </c:xVal>
          <c:yVal>
            <c:numRef>
              <c:f>'výpočet PT'!$K$254:$K$309</c:f>
              <c:numCache>
                <c:formatCode>General</c:formatCode>
                <c:ptCount val="56"/>
                <c:pt idx="0">
                  <c:v>1.7896549020965158</c:v>
                </c:pt>
                <c:pt idx="1">
                  <c:v>2.9827581701608588</c:v>
                </c:pt>
                <c:pt idx="2">
                  <c:v>5.9655163403217175</c:v>
                </c:pt>
                <c:pt idx="3">
                  <c:v>14.913790850804293</c:v>
                </c:pt>
                <c:pt idx="4">
                  <c:v>29.827581701608587</c:v>
                </c:pt>
                <c:pt idx="5">
                  <c:v>89.482745104825767</c:v>
                </c:pt>
                <c:pt idx="7">
                  <c:v>0.96601114248941455</c:v>
                </c:pt>
                <c:pt idx="8">
                  <c:v>1.6100185708156913</c:v>
                </c:pt>
                <c:pt idx="9">
                  <c:v>3.2200371416313827</c:v>
                </c:pt>
                <c:pt idx="10">
                  <c:v>8.0500928540784535</c:v>
                </c:pt>
                <c:pt idx="11">
                  <c:v>16.100185708156907</c:v>
                </c:pt>
                <c:pt idx="12">
                  <c:v>48.300557124470743</c:v>
                </c:pt>
                <c:pt idx="14">
                  <c:v>0.73304264789873297</c:v>
                </c:pt>
                <c:pt idx="15">
                  <c:v>1.221737746497888</c:v>
                </c:pt>
                <c:pt idx="16">
                  <c:v>2.443475492995776</c:v>
                </c:pt>
                <c:pt idx="17">
                  <c:v>6.1086887324894397</c:v>
                </c:pt>
                <c:pt idx="18">
                  <c:v>12.217377464978879</c:v>
                </c:pt>
                <c:pt idx="19">
                  <c:v>36.652132394936643</c:v>
                </c:pt>
                <c:pt idx="21">
                  <c:v>0.56625799636647567</c:v>
                </c:pt>
                <c:pt idx="22">
                  <c:v>0.94376332727745926</c:v>
                </c:pt>
                <c:pt idx="23">
                  <c:v>1.8875266545549185</c:v>
                </c:pt>
                <c:pt idx="24">
                  <c:v>4.718816636387297</c:v>
                </c:pt>
                <c:pt idx="25">
                  <c:v>9.437633272774594</c:v>
                </c:pt>
                <c:pt idx="26">
                  <c:v>28.312899818323778</c:v>
                </c:pt>
                <c:pt idx="28">
                  <c:v>0.23193927531170844</c:v>
                </c:pt>
                <c:pt idx="29">
                  <c:v>0.38656545885284743</c:v>
                </c:pt>
                <c:pt idx="30">
                  <c:v>0.77313091770569486</c:v>
                </c:pt>
                <c:pt idx="31">
                  <c:v>1.9328272942642364</c:v>
                </c:pt>
                <c:pt idx="32">
                  <c:v>3.8656545885284728</c:v>
                </c:pt>
                <c:pt idx="33">
                  <c:v>11.596963765585421</c:v>
                </c:pt>
                <c:pt idx="35">
                  <c:v>8.1208387420506456E-2</c:v>
                </c:pt>
                <c:pt idx="36">
                  <c:v>0.13534731236751071</c:v>
                </c:pt>
                <c:pt idx="37">
                  <c:v>0.27069462473502143</c:v>
                </c:pt>
                <c:pt idx="38">
                  <c:v>0.67673656183755349</c:v>
                </c:pt>
                <c:pt idx="39">
                  <c:v>1.353473123675107</c:v>
                </c:pt>
                <c:pt idx="40">
                  <c:v>4.060419371025322</c:v>
                </c:pt>
                <c:pt idx="42">
                  <c:v>3.8656135140828072</c:v>
                </c:pt>
                <c:pt idx="43">
                  <c:v>2.2370448576868092</c:v>
                </c:pt>
                <c:pt idx="44">
                  <c:v>1.4087512806424223</c:v>
                </c:pt>
                <c:pt idx="45">
                  <c:v>1.1453669671356468</c:v>
                </c:pt>
                <c:pt idx="46">
                  <c:v>0.94375329933662289</c:v>
                </c:pt>
                <c:pt idx="47">
                  <c:v>0.4832016892603509</c:v>
                </c:pt>
                <c:pt idx="48">
                  <c:v>0.2199370456351164</c:v>
                </c:pt>
                <c:pt idx="50">
                  <c:v>2.242055838168028</c:v>
                </c:pt>
                <c:pt idx="51">
                  <c:v>1.29748601745835</c:v>
                </c:pt>
                <c:pt idx="52">
                  <c:v>0.81707574277260497</c:v>
                </c:pt>
                <c:pt idx="53">
                  <c:v>0.66431284093867526</c:v>
                </c:pt>
                <c:pt idx="54">
                  <c:v>0.54737691361524143</c:v>
                </c:pt>
                <c:pt idx="55">
                  <c:v>0.2802569797710035</c:v>
                </c:pt>
              </c:numCache>
            </c:numRef>
          </c:yVal>
          <c:extLst xmlns:c16r2="http://schemas.microsoft.com/office/drawing/2015/06/chart">
            <c:ext xmlns:c16="http://schemas.microsoft.com/office/drawing/2014/chart" uri="{C3380CC4-5D6E-409C-BE32-E72D297353CC}">
              <c16:uniqueId val="{00000001-75E6-4D4A-86AC-1DF9956B26B9}"/>
            </c:ext>
          </c:extLst>
        </c:ser>
        <c:axId val="156796416"/>
        <c:axId val="156797952"/>
      </c:scatterChart>
      <c:valAx>
        <c:axId val="156796416"/>
        <c:scaling>
          <c:logBase val="10"/>
          <c:orientation val="minMax"/>
          <c:max val="2000"/>
          <c:min val="50"/>
        </c:scaling>
        <c:axPos val="b"/>
        <c:majorGridlines/>
        <c:numFmt formatCode="General" sourceLinked="1"/>
        <c:tickLblPos val="nextTo"/>
        <c:crossAx val="156797952"/>
        <c:crosses val="autoZero"/>
        <c:crossBetween val="midCat"/>
      </c:valAx>
      <c:valAx>
        <c:axId val="156797952"/>
        <c:scaling>
          <c:logBase val="10"/>
          <c:orientation val="minMax"/>
          <c:max val="300"/>
          <c:min val="10"/>
        </c:scaling>
        <c:axPos val="l"/>
        <c:majorGridlines/>
        <c:numFmt formatCode="General" sourceLinked="1"/>
        <c:tickLblPos val="nextTo"/>
        <c:crossAx val="156796416"/>
        <c:crosses val="autoZero"/>
        <c:crossBetween val="midCat"/>
      </c:valAx>
      <c:spPr>
        <a:blipFill>
          <a:blip xmlns:r="http://schemas.openxmlformats.org/officeDocument/2006/relationships" r:embed="rId1"/>
          <a:stretch>
            <a:fillRect/>
          </a:stretch>
        </a:blipFill>
      </c:spPr>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nový Giacomini 10°C</a:t>
            </a:r>
            <a:endParaRPr lang="en-US" sz="1000" baseline="0"/>
          </a:p>
        </c:rich>
      </c:tx>
    </c:title>
    <c:plotArea>
      <c:layout/>
      <c:scatterChart>
        <c:scatterStyle val="lineMarker"/>
        <c:ser>
          <c:idx val="0"/>
          <c:order val="0"/>
          <c:tx>
            <c:strRef>
              <c:f>'výpočet PT'!$J$246</c:f>
              <c:strCache>
                <c:ptCount val="1"/>
              </c:strCache>
            </c:strRef>
          </c:tx>
          <c:xVal>
            <c:numRef>
              <c:f>'výpočet PT'!$F$254:$F$309</c:f>
              <c:numCache>
                <c:formatCode>General</c:formatCode>
                <c:ptCount val="56"/>
                <c:pt idx="0">
                  <c:v>60</c:v>
                </c:pt>
                <c:pt idx="1">
                  <c:v>100</c:v>
                </c:pt>
                <c:pt idx="2">
                  <c:v>200</c:v>
                </c:pt>
                <c:pt idx="3">
                  <c:v>500</c:v>
                </c:pt>
                <c:pt idx="4">
                  <c:v>1000</c:v>
                </c:pt>
                <c:pt idx="5">
                  <c:v>3000</c:v>
                </c:pt>
                <c:pt idx="7">
                  <c:v>60</c:v>
                </c:pt>
                <c:pt idx="8">
                  <c:v>100</c:v>
                </c:pt>
                <c:pt idx="9">
                  <c:v>200</c:v>
                </c:pt>
                <c:pt idx="10">
                  <c:v>500</c:v>
                </c:pt>
                <c:pt idx="11">
                  <c:v>1000</c:v>
                </c:pt>
                <c:pt idx="12">
                  <c:v>3000</c:v>
                </c:pt>
                <c:pt idx="14">
                  <c:v>60</c:v>
                </c:pt>
                <c:pt idx="15">
                  <c:v>100</c:v>
                </c:pt>
                <c:pt idx="16">
                  <c:v>200</c:v>
                </c:pt>
                <c:pt idx="17">
                  <c:v>500</c:v>
                </c:pt>
                <c:pt idx="18">
                  <c:v>1000</c:v>
                </c:pt>
                <c:pt idx="19">
                  <c:v>3000</c:v>
                </c:pt>
                <c:pt idx="21">
                  <c:v>60</c:v>
                </c:pt>
                <c:pt idx="22">
                  <c:v>100</c:v>
                </c:pt>
                <c:pt idx="23">
                  <c:v>200</c:v>
                </c:pt>
                <c:pt idx="24">
                  <c:v>500</c:v>
                </c:pt>
                <c:pt idx="25">
                  <c:v>1000</c:v>
                </c:pt>
                <c:pt idx="26">
                  <c:v>3000</c:v>
                </c:pt>
                <c:pt idx="28">
                  <c:v>60</c:v>
                </c:pt>
                <c:pt idx="29">
                  <c:v>100</c:v>
                </c:pt>
                <c:pt idx="30">
                  <c:v>200</c:v>
                </c:pt>
                <c:pt idx="31">
                  <c:v>500</c:v>
                </c:pt>
                <c:pt idx="32">
                  <c:v>1000</c:v>
                </c:pt>
                <c:pt idx="33">
                  <c:v>3000</c:v>
                </c:pt>
                <c:pt idx="35">
                  <c:v>60</c:v>
                </c:pt>
                <c:pt idx="36">
                  <c:v>100</c:v>
                </c:pt>
                <c:pt idx="37">
                  <c:v>200</c:v>
                </c:pt>
                <c:pt idx="38">
                  <c:v>500</c:v>
                </c:pt>
                <c:pt idx="39">
                  <c:v>1000</c:v>
                </c:pt>
                <c:pt idx="40">
                  <c:v>3000</c:v>
                </c:pt>
                <c:pt idx="42">
                  <c:v>62.499335907335904</c:v>
                </c:pt>
                <c:pt idx="43">
                  <c:v>74.999203088803085</c:v>
                </c:pt>
                <c:pt idx="44">
                  <c:v>87.499070270270266</c:v>
                </c:pt>
                <c:pt idx="45">
                  <c:v>93.749003861003871</c:v>
                </c:pt>
                <c:pt idx="46">
                  <c:v>99.998937451737461</c:v>
                </c:pt>
                <c:pt idx="47">
                  <c:v>124.99867181467181</c:v>
                </c:pt>
                <c:pt idx="48">
                  <c:v>162.49827335907332</c:v>
                </c:pt>
                <c:pt idx="50">
                  <c:v>36.249614826254827</c:v>
                </c:pt>
                <c:pt idx="51">
                  <c:v>43.499537791505801</c:v>
                </c:pt>
                <c:pt idx="52">
                  <c:v>50.749460756756761</c:v>
                </c:pt>
                <c:pt idx="53">
                  <c:v>54.374422239382241</c:v>
                </c:pt>
                <c:pt idx="54">
                  <c:v>57.999383722007728</c:v>
                </c:pt>
                <c:pt idx="55">
                  <c:v>72.499229652509655</c:v>
                </c:pt>
              </c:numCache>
            </c:numRef>
          </c:xVal>
          <c:yVal>
            <c:numRef>
              <c:f>'výpočet PT'!$J$254:$J$309</c:f>
              <c:numCache>
                <c:formatCode>General</c:formatCode>
                <c:ptCount val="56"/>
                <c:pt idx="0">
                  <c:v>3.761838346416353</c:v>
                </c:pt>
                <c:pt idx="1">
                  <c:v>9.2027541531383417</c:v>
                </c:pt>
                <c:pt idx="2">
                  <c:v>31.004380946620774</c:v>
                </c:pt>
                <c:pt idx="3">
                  <c:v>154.84580649171883</c:v>
                </c:pt>
                <c:pt idx="4">
                  <c:v>524.90970734125449</c:v>
                </c:pt>
                <c:pt idx="5">
                  <c:v>3694.9859371703674</c:v>
                </c:pt>
                <c:pt idx="7">
                  <c:v>1.8083825112626359</c:v>
                </c:pt>
                <c:pt idx="8">
                  <c:v>4.4231672276407581</c:v>
                </c:pt>
                <c:pt idx="9">
                  <c:v>14.895445316170667</c:v>
                </c:pt>
                <c:pt idx="10">
                  <c:v>74.299652328279151</c:v>
                </c:pt>
                <c:pt idx="11">
                  <c:v>251.36546095733297</c:v>
                </c:pt>
                <c:pt idx="12">
                  <c:v>1757.063897320164</c:v>
                </c:pt>
                <c:pt idx="14">
                  <c:v>1.3029410787625955</c:v>
                </c:pt>
                <c:pt idx="15">
                  <c:v>3.1866997784416276</c:v>
                </c:pt>
                <c:pt idx="16">
                  <c:v>10.72988284880523</c:v>
                </c:pt>
                <c:pt idx="17">
                  <c:v>53.497422633259063</c:v>
                </c:pt>
                <c:pt idx="18">
                  <c:v>180.85778028318882</c:v>
                </c:pt>
                <c:pt idx="19">
                  <c:v>1260.9146246868936</c:v>
                </c:pt>
                <c:pt idx="21">
                  <c:v>0.95886047917155937</c:v>
                </c:pt>
                <c:pt idx="22">
                  <c:v>2.3450382522562436</c:v>
                </c:pt>
                <c:pt idx="23">
                  <c:v>7.8949504176643632</c:v>
                </c:pt>
                <c:pt idx="24">
                  <c:v>39.348369050824402</c:v>
                </c:pt>
                <c:pt idx="25">
                  <c:v>132.9448698888545</c:v>
                </c:pt>
                <c:pt idx="26">
                  <c:v>924.85428154178521</c:v>
                </c:pt>
                <c:pt idx="28">
                  <c:v>0.33215958686221192</c:v>
                </c:pt>
                <c:pt idx="29">
                  <c:v>0.81223948820281533</c:v>
                </c:pt>
                <c:pt idx="30">
                  <c:v>2.7336390115168085</c:v>
                </c:pt>
                <c:pt idx="31">
                  <c:v>13.611197382324232</c:v>
                </c:pt>
                <c:pt idx="32">
                  <c:v>45.914941762123526</c:v>
                </c:pt>
                <c:pt idx="33">
                  <c:v>317.53881375089429</c:v>
                </c:pt>
                <c:pt idx="35">
                  <c:v>9.5510992012774118E-2</c:v>
                </c:pt>
                <c:pt idx="36">
                  <c:v>0.23353343464840262</c:v>
                </c:pt>
                <c:pt idx="37">
                  <c:v>0.78578260364342989</c:v>
                </c:pt>
                <c:pt idx="38">
                  <c:v>3.9097476166221696</c:v>
                </c:pt>
                <c:pt idx="39">
                  <c:v>13.173441178740848</c:v>
                </c:pt>
                <c:pt idx="40">
                  <c:v>90.699109024059453</c:v>
                </c:pt>
                <c:pt idx="42">
                  <c:v>9.7399316440690757</c:v>
                </c:pt>
                <c:pt idx="43">
                  <c:v>5.7089318416759776</c:v>
                </c:pt>
                <c:pt idx="44">
                  <c:v>3.6341325572662044</c:v>
                </c:pt>
                <c:pt idx="45">
                  <c:v>2.9689885308599169</c:v>
                </c:pt>
                <c:pt idx="46">
                  <c:v>2.4574481296965702</c:v>
                </c:pt>
                <c:pt idx="47">
                  <c:v>1.2780210930159452</c:v>
                </c:pt>
                <c:pt idx="48">
                  <c:v>0.59249405820845558</c:v>
                </c:pt>
                <c:pt idx="50">
                  <c:v>3.7956515633315586</c:v>
                </c:pt>
                <c:pt idx="51">
                  <c:v>2.2247708568884752</c:v>
                </c:pt>
                <c:pt idx="52">
                  <c:v>1.4162215328011143</c:v>
                </c:pt>
                <c:pt idx="53">
                  <c:v>1.1570148919406513</c:v>
                </c:pt>
                <c:pt idx="54">
                  <c:v>0.9576675870172916</c:v>
                </c:pt>
                <c:pt idx="55">
                  <c:v>0.49804484640613966</c:v>
                </c:pt>
              </c:numCache>
            </c:numRef>
          </c:yVal>
          <c:extLst xmlns:c16r2="http://schemas.microsoft.com/office/drawing/2015/06/chart">
            <c:ext xmlns:c16="http://schemas.microsoft.com/office/drawing/2014/chart" uri="{C3380CC4-5D6E-409C-BE32-E72D297353CC}">
              <c16:uniqueId val="{00000000-26F7-4622-A059-31DBD8F96777}"/>
            </c:ext>
          </c:extLst>
        </c:ser>
        <c:ser>
          <c:idx val="1"/>
          <c:order val="1"/>
          <c:tx>
            <c:strRef>
              <c:f>'výpočet PT'!$K$246</c:f>
              <c:strCache>
                <c:ptCount val="1"/>
                <c:pt idx="0">
                  <c:v>mm H2O laminární</c:v>
                </c:pt>
              </c:strCache>
            </c:strRef>
          </c:tx>
          <c:xVal>
            <c:numRef>
              <c:f>'výpočet PT'!$F$254:$F$309</c:f>
              <c:numCache>
                <c:formatCode>General</c:formatCode>
                <c:ptCount val="56"/>
                <c:pt idx="0">
                  <c:v>60</c:v>
                </c:pt>
                <c:pt idx="1">
                  <c:v>100</c:v>
                </c:pt>
                <c:pt idx="2">
                  <c:v>200</c:v>
                </c:pt>
                <c:pt idx="3">
                  <c:v>500</c:v>
                </c:pt>
                <c:pt idx="4">
                  <c:v>1000</c:v>
                </c:pt>
                <c:pt idx="5">
                  <c:v>3000</c:v>
                </c:pt>
                <c:pt idx="7">
                  <c:v>60</c:v>
                </c:pt>
                <c:pt idx="8">
                  <c:v>100</c:v>
                </c:pt>
                <c:pt idx="9">
                  <c:v>200</c:v>
                </c:pt>
                <c:pt idx="10">
                  <c:v>500</c:v>
                </c:pt>
                <c:pt idx="11">
                  <c:v>1000</c:v>
                </c:pt>
                <c:pt idx="12">
                  <c:v>3000</c:v>
                </c:pt>
                <c:pt idx="14">
                  <c:v>60</c:v>
                </c:pt>
                <c:pt idx="15">
                  <c:v>100</c:v>
                </c:pt>
                <c:pt idx="16">
                  <c:v>200</c:v>
                </c:pt>
                <c:pt idx="17">
                  <c:v>500</c:v>
                </c:pt>
                <c:pt idx="18">
                  <c:v>1000</c:v>
                </c:pt>
                <c:pt idx="19">
                  <c:v>3000</c:v>
                </c:pt>
                <c:pt idx="21">
                  <c:v>60</c:v>
                </c:pt>
                <c:pt idx="22">
                  <c:v>100</c:v>
                </c:pt>
                <c:pt idx="23">
                  <c:v>200</c:v>
                </c:pt>
                <c:pt idx="24">
                  <c:v>500</c:v>
                </c:pt>
                <c:pt idx="25">
                  <c:v>1000</c:v>
                </c:pt>
                <c:pt idx="26">
                  <c:v>3000</c:v>
                </c:pt>
                <c:pt idx="28">
                  <c:v>60</c:v>
                </c:pt>
                <c:pt idx="29">
                  <c:v>100</c:v>
                </c:pt>
                <c:pt idx="30">
                  <c:v>200</c:v>
                </c:pt>
                <c:pt idx="31">
                  <c:v>500</c:v>
                </c:pt>
                <c:pt idx="32">
                  <c:v>1000</c:v>
                </c:pt>
                <c:pt idx="33">
                  <c:v>3000</c:v>
                </c:pt>
                <c:pt idx="35">
                  <c:v>60</c:v>
                </c:pt>
                <c:pt idx="36">
                  <c:v>100</c:v>
                </c:pt>
                <c:pt idx="37">
                  <c:v>200</c:v>
                </c:pt>
                <c:pt idx="38">
                  <c:v>500</c:v>
                </c:pt>
                <c:pt idx="39">
                  <c:v>1000</c:v>
                </c:pt>
                <c:pt idx="40">
                  <c:v>3000</c:v>
                </c:pt>
                <c:pt idx="42">
                  <c:v>62.499335907335904</c:v>
                </c:pt>
                <c:pt idx="43">
                  <c:v>74.999203088803085</c:v>
                </c:pt>
                <c:pt idx="44">
                  <c:v>87.499070270270266</c:v>
                </c:pt>
                <c:pt idx="45">
                  <c:v>93.749003861003871</c:v>
                </c:pt>
                <c:pt idx="46">
                  <c:v>99.998937451737461</c:v>
                </c:pt>
                <c:pt idx="47">
                  <c:v>124.99867181467181</c:v>
                </c:pt>
                <c:pt idx="48">
                  <c:v>162.49827335907332</c:v>
                </c:pt>
                <c:pt idx="50">
                  <c:v>36.249614826254827</c:v>
                </c:pt>
                <c:pt idx="51">
                  <c:v>43.499537791505801</c:v>
                </c:pt>
                <c:pt idx="52">
                  <c:v>50.749460756756761</c:v>
                </c:pt>
                <c:pt idx="53">
                  <c:v>54.374422239382241</c:v>
                </c:pt>
                <c:pt idx="54">
                  <c:v>57.999383722007728</c:v>
                </c:pt>
                <c:pt idx="55">
                  <c:v>72.499229652509655</c:v>
                </c:pt>
              </c:numCache>
            </c:numRef>
          </c:xVal>
          <c:yVal>
            <c:numRef>
              <c:f>'výpočet PT'!$K$254:$K$309</c:f>
              <c:numCache>
                <c:formatCode>General</c:formatCode>
                <c:ptCount val="56"/>
                <c:pt idx="0">
                  <c:v>1.7896549020965158</c:v>
                </c:pt>
                <c:pt idx="1">
                  <c:v>2.9827581701608588</c:v>
                </c:pt>
                <c:pt idx="2">
                  <c:v>5.9655163403217175</c:v>
                </c:pt>
                <c:pt idx="3">
                  <c:v>14.913790850804293</c:v>
                </c:pt>
                <c:pt idx="4">
                  <c:v>29.827581701608587</c:v>
                </c:pt>
                <c:pt idx="5">
                  <c:v>89.482745104825767</c:v>
                </c:pt>
                <c:pt idx="7">
                  <c:v>0.96601114248941455</c:v>
                </c:pt>
                <c:pt idx="8">
                  <c:v>1.6100185708156913</c:v>
                </c:pt>
                <c:pt idx="9">
                  <c:v>3.2200371416313827</c:v>
                </c:pt>
                <c:pt idx="10">
                  <c:v>8.0500928540784535</c:v>
                </c:pt>
                <c:pt idx="11">
                  <c:v>16.100185708156907</c:v>
                </c:pt>
                <c:pt idx="12">
                  <c:v>48.300557124470743</c:v>
                </c:pt>
                <c:pt idx="14">
                  <c:v>0.73304264789873297</c:v>
                </c:pt>
                <c:pt idx="15">
                  <c:v>1.221737746497888</c:v>
                </c:pt>
                <c:pt idx="16">
                  <c:v>2.443475492995776</c:v>
                </c:pt>
                <c:pt idx="17">
                  <c:v>6.1086887324894397</c:v>
                </c:pt>
                <c:pt idx="18">
                  <c:v>12.217377464978879</c:v>
                </c:pt>
                <c:pt idx="19">
                  <c:v>36.652132394936643</c:v>
                </c:pt>
                <c:pt idx="21">
                  <c:v>0.56625799636647567</c:v>
                </c:pt>
                <c:pt idx="22">
                  <c:v>0.94376332727745926</c:v>
                </c:pt>
                <c:pt idx="23">
                  <c:v>1.8875266545549185</c:v>
                </c:pt>
                <c:pt idx="24">
                  <c:v>4.718816636387297</c:v>
                </c:pt>
                <c:pt idx="25">
                  <c:v>9.437633272774594</c:v>
                </c:pt>
                <c:pt idx="26">
                  <c:v>28.312899818323778</c:v>
                </c:pt>
                <c:pt idx="28">
                  <c:v>0.23193927531170844</c:v>
                </c:pt>
                <c:pt idx="29">
                  <c:v>0.38656545885284743</c:v>
                </c:pt>
                <c:pt idx="30">
                  <c:v>0.77313091770569486</c:v>
                </c:pt>
                <c:pt idx="31">
                  <c:v>1.9328272942642364</c:v>
                </c:pt>
                <c:pt idx="32">
                  <c:v>3.8656545885284728</c:v>
                </c:pt>
                <c:pt idx="33">
                  <c:v>11.596963765585421</c:v>
                </c:pt>
                <c:pt idx="35">
                  <c:v>8.1208387420506456E-2</c:v>
                </c:pt>
                <c:pt idx="36">
                  <c:v>0.13534731236751071</c:v>
                </c:pt>
                <c:pt idx="37">
                  <c:v>0.27069462473502143</c:v>
                </c:pt>
                <c:pt idx="38">
                  <c:v>0.67673656183755349</c:v>
                </c:pt>
                <c:pt idx="39">
                  <c:v>1.353473123675107</c:v>
                </c:pt>
                <c:pt idx="40">
                  <c:v>4.060419371025322</c:v>
                </c:pt>
                <c:pt idx="42">
                  <c:v>3.8656135140828072</c:v>
                </c:pt>
                <c:pt idx="43">
                  <c:v>2.2370448576868092</c:v>
                </c:pt>
                <c:pt idx="44">
                  <c:v>1.4087512806424223</c:v>
                </c:pt>
                <c:pt idx="45">
                  <c:v>1.1453669671356468</c:v>
                </c:pt>
                <c:pt idx="46">
                  <c:v>0.94375329933662289</c:v>
                </c:pt>
                <c:pt idx="47">
                  <c:v>0.4832016892603509</c:v>
                </c:pt>
                <c:pt idx="48">
                  <c:v>0.2199370456351164</c:v>
                </c:pt>
                <c:pt idx="50">
                  <c:v>2.242055838168028</c:v>
                </c:pt>
                <c:pt idx="51">
                  <c:v>1.29748601745835</c:v>
                </c:pt>
                <c:pt idx="52">
                  <c:v>0.81707574277260497</c:v>
                </c:pt>
                <c:pt idx="53">
                  <c:v>0.66431284093867526</c:v>
                </c:pt>
                <c:pt idx="54">
                  <c:v>0.54737691361524143</c:v>
                </c:pt>
                <c:pt idx="55">
                  <c:v>0.2802569797710035</c:v>
                </c:pt>
              </c:numCache>
            </c:numRef>
          </c:yVal>
          <c:extLst xmlns:c16r2="http://schemas.microsoft.com/office/drawing/2015/06/chart">
            <c:ext xmlns:c16="http://schemas.microsoft.com/office/drawing/2014/chart" uri="{C3380CC4-5D6E-409C-BE32-E72D297353CC}">
              <c16:uniqueId val="{00000001-26F7-4622-A059-31DBD8F96777}"/>
            </c:ext>
          </c:extLst>
        </c:ser>
        <c:axId val="156814720"/>
        <c:axId val="156902528"/>
      </c:scatterChart>
      <c:valAx>
        <c:axId val="156814720"/>
        <c:scaling>
          <c:logBase val="10"/>
          <c:orientation val="minMax"/>
          <c:max val="2000"/>
          <c:min val="50"/>
        </c:scaling>
        <c:axPos val="b"/>
        <c:numFmt formatCode="General" sourceLinked="1"/>
        <c:tickLblPos val="nextTo"/>
        <c:crossAx val="156902528"/>
        <c:crosses val="autoZero"/>
        <c:crossBetween val="midCat"/>
      </c:valAx>
      <c:valAx>
        <c:axId val="156902528"/>
        <c:scaling>
          <c:logBase val="10"/>
          <c:orientation val="minMax"/>
          <c:max val="300"/>
          <c:min val="10"/>
        </c:scaling>
        <c:axPos val="l"/>
        <c:majorGridlines/>
        <c:numFmt formatCode="General" sourceLinked="1"/>
        <c:tickLblPos val="nextTo"/>
        <c:crossAx val="156814720"/>
        <c:crosses val="autoZero"/>
        <c:crossBetween val="midCat"/>
      </c:valAx>
      <c:spPr>
        <a:blipFill>
          <a:blip xmlns:r="http://schemas.openxmlformats.org/officeDocument/2006/relationships" r:embed="rId1"/>
          <a:stretch>
            <a:fillRect/>
          </a:stretch>
        </a:blipFill>
      </c:spPr>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'výpočet PT'!$D$247:$D$252</c:f>
              <c:numCache>
                <c:formatCode>General</c:formatCode>
                <c:ptCount val="6"/>
                <c:pt idx="0">
                  <c:v>4.018346259343638E-2</c:v>
                </c:pt>
                <c:pt idx="1">
                  <c:v>3.5398989715910933E-2</c:v>
                </c:pt>
                <c:pt idx="2">
                  <c:v>2.9836029656411165E-2</c:v>
                </c:pt>
                <c:pt idx="3">
                  <c:v>2.3890436632385274E-2</c:v>
                </c:pt>
                <c:pt idx="4">
                  <c:v>2.0311400568959956E-2</c:v>
                </c:pt>
                <c:pt idx="5">
                  <c:v>1.6058153298683913E-2</c:v>
                </c:pt>
              </c:numCache>
            </c:numRef>
          </c:val>
          <c:extLst xmlns:c16r2="http://schemas.microsoft.com/office/drawing/2015/06/chart">
            <c:ext xmlns:c16="http://schemas.microsoft.com/office/drawing/2014/chart" uri="{C3380CC4-5D6E-409C-BE32-E72D297353CC}">
              <c16:uniqueId val="{00000000-2639-4ED9-AA77-7B35C2237A70}"/>
            </c:ext>
          </c:extLst>
        </c:ser>
        <c:axId val="156942720"/>
        <c:axId val="156944256"/>
      </c:barChart>
      <c:catAx>
        <c:axId val="156942720"/>
        <c:scaling>
          <c:orientation val="minMax"/>
        </c:scaling>
        <c:axPos val="b"/>
        <c:tickLblPos val="nextTo"/>
        <c:crossAx val="156944256"/>
        <c:crosses val="autoZero"/>
        <c:auto val="1"/>
        <c:lblAlgn val="ctr"/>
        <c:lblOffset val="100"/>
      </c:catAx>
      <c:valAx>
        <c:axId val="156944256"/>
        <c:scaling>
          <c:orientation val="minMax"/>
        </c:scaling>
        <c:axPos val="l"/>
        <c:majorGridlines/>
        <c:numFmt formatCode="General" sourceLinked="1"/>
        <c:tickLblPos val="nextTo"/>
        <c:crossAx val="156942720"/>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'výpočet PT'!$A$247:$A$294</c:f>
              <c:numCache>
                <c:formatCode>General</c:formatCode>
                <c:ptCount val="48"/>
                <c:pt idx="0">
                  <c:v>0.93770117515150575</c:v>
                </c:pt>
                <c:pt idx="1">
                  <c:v>0.97009887771801218</c:v>
                </c:pt>
                <c:pt idx="2">
                  <c:v>0.98176963796909722</c:v>
                </c:pt>
                <c:pt idx="3">
                  <c:v>0.98055662264777033</c:v>
                </c:pt>
                <c:pt idx="4">
                  <c:v>0.99485538760386749</c:v>
                </c:pt>
                <c:pt idx="5">
                  <c:v>1.0275273935464091</c:v>
                </c:pt>
                <c:pt idx="7">
                  <c:v>0.84798965458972886</c:v>
                </c:pt>
                <c:pt idx="8">
                  <c:v>1.0236066120257676</c:v>
                </c:pt>
                <c:pt idx="9">
                  <c:v>0.97276575371478902</c:v>
                </c:pt>
                <c:pt idx="10">
                  <c:v>0.97903846048363974</c:v>
                </c:pt>
                <c:pt idx="11">
                  <c:v>0.99159911261007094</c:v>
                </c:pt>
                <c:pt idx="12">
                  <c:v>1.0235817035061194</c:v>
                </c:pt>
                <c:pt idx="14">
                  <c:v>0.72993406637092451</c:v>
                </c:pt>
                <c:pt idx="15">
                  <c:v>0.99476229894814205</c:v>
                </c:pt>
                <c:pt idx="16">
                  <c:v>0.97479462290643437</c:v>
                </c:pt>
                <c:pt idx="17">
                  <c:v>0.97079862071638034</c:v>
                </c:pt>
                <c:pt idx="18">
                  <c:v>0.98104170342582642</c:v>
                </c:pt>
                <c:pt idx="19">
                  <c:v>1.0175270249003496</c:v>
                </c:pt>
                <c:pt idx="21">
                  <c:v>0.58329575480249096</c:v>
                </c:pt>
                <c:pt idx="22">
                  <c:v>1.0324160506920701</c:v>
                </c:pt>
                <c:pt idx="23">
                  <c:v>0.95713999348497647</c:v>
                </c:pt>
                <c:pt idx="24">
                  <c:v>0.98341186192571162</c:v>
                </c:pt>
                <c:pt idx="25">
                  <c:v>0.98187647621210195</c:v>
                </c:pt>
                <c:pt idx="26">
                  <c:v>1.018252921222816</c:v>
                </c:pt>
                <c:pt idx="28">
                  <c:v>0.57359752742671333</c:v>
                </c:pt>
                <c:pt idx="29">
                  <c:v>1.0277017859650071</c:v>
                </c:pt>
                <c:pt idx="30">
                  <c:v>1.0044394936613175</c:v>
                </c:pt>
                <c:pt idx="31">
                  <c:v>0.97234017375869863</c:v>
                </c:pt>
                <c:pt idx="32">
                  <c:v>0.98070726692200461</c:v>
                </c:pt>
                <c:pt idx="33">
                  <c:v>1.0124513868703915</c:v>
                </c:pt>
                <c:pt idx="35">
                  <c:v>0.66233223035426492</c:v>
                </c:pt>
                <c:pt idx="36">
                  <c:v>0.84950314534290128</c:v>
                </c:pt>
                <c:pt idx="37">
                  <c:v>1.0169594406166551</c:v>
                </c:pt>
                <c:pt idx="38">
                  <c:v>0.96538163623017204</c:v>
                </c:pt>
                <c:pt idx="39">
                  <c:v>0.97049017792196679</c:v>
                </c:pt>
                <c:pt idx="40">
                  <c:v>1.0054833808457557</c:v>
                </c:pt>
                <c:pt idx="42">
                  <c:v>0.83759992765335745</c:v>
                </c:pt>
                <c:pt idx="43">
                  <c:v>0.5566654736000527</c:v>
                </c:pt>
                <c:pt idx="44">
                  <c:v>0.91628396538887935</c:v>
                </c:pt>
                <c:pt idx="45">
                  <c:v>0.96425661440957544</c:v>
                </c:pt>
                <c:pt idx="46">
                  <c:v>0.96482003658324722</c:v>
                </c:pt>
                <c:pt idx="47">
                  <c:v>0.99934829542764558</c:v>
                </c:pt>
              </c:numCache>
            </c:numRef>
          </c:val>
          <c:extLst xmlns:c16r2="http://schemas.microsoft.com/office/drawing/2015/06/chart">
            <c:ext xmlns:c16="http://schemas.microsoft.com/office/drawing/2014/chart" uri="{C3380CC4-5D6E-409C-BE32-E72D297353CC}">
              <c16:uniqueId val="{00000000-82DC-4334-9F65-F8C0088DE47B}"/>
            </c:ext>
          </c:extLst>
        </c:ser>
        <c:axId val="155722880"/>
        <c:axId val="155724416"/>
      </c:barChart>
      <c:catAx>
        <c:axId val="155722880"/>
        <c:scaling>
          <c:orientation val="minMax"/>
        </c:scaling>
        <c:axPos val="b"/>
        <c:tickLblPos val="nextTo"/>
        <c:crossAx val="155724416"/>
        <c:crosses val="autoZero"/>
        <c:auto val="1"/>
        <c:lblAlgn val="ctr"/>
        <c:lblOffset val="100"/>
      </c:catAx>
      <c:valAx>
        <c:axId val="155724416"/>
        <c:scaling>
          <c:orientation val="minMax"/>
        </c:scaling>
        <c:axPos val="l"/>
        <c:majorGridlines/>
        <c:numFmt formatCode="General" sourceLinked="1"/>
        <c:tickLblPos val="nextTo"/>
        <c:crossAx val="155722880"/>
        <c:crosses val="autoZero"/>
        <c:crossBetween val="between"/>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cs-CZ"/>
  <c:chart>
    <c:plotArea>
      <c:layout/>
      <c:lineChart>
        <c:grouping val="standard"/>
        <c:ser>
          <c:idx val="0"/>
          <c:order val="0"/>
          <c:marker>
            <c:symbol val="none"/>
          </c:marker>
          <c:val>
            <c:numRef>
              <c:f>'10 těles'!$BJ$134:$BJ$137</c:f>
              <c:numCache>
                <c:formatCode>General</c:formatCode>
                <c:ptCount val="4"/>
                <c:pt idx="0">
                  <c:v>63.166666666666664</c:v>
                </c:pt>
                <c:pt idx="1">
                  <c:v>62.083333333333329</c:v>
                </c:pt>
                <c:pt idx="2">
                  <c:v>61.666666666666671</c:v>
                </c:pt>
                <c:pt idx="3">
                  <c:v>63.333333333333336</c:v>
                </c:pt>
              </c:numCache>
            </c:numRef>
          </c:val>
          <c:extLst xmlns:c16r2="http://schemas.microsoft.com/office/drawing/2015/06/chart">
            <c:ext xmlns:c16="http://schemas.microsoft.com/office/drawing/2014/chart" uri="{C3380CC4-5D6E-409C-BE32-E72D297353CC}">
              <c16:uniqueId val="{00000000-4B51-4BAA-BC8C-90825D9B3547}"/>
            </c:ext>
          </c:extLst>
        </c:ser>
        <c:ser>
          <c:idx val="1"/>
          <c:order val="1"/>
          <c:marker>
            <c:symbol val="none"/>
          </c:marker>
          <c:val>
            <c:numRef>
              <c:f>'10 těles'!$BK$134:$BK$137</c:f>
              <c:numCache>
                <c:formatCode>General</c:formatCode>
                <c:ptCount val="4"/>
                <c:pt idx="0">
                  <c:v>59.624999999999993</c:v>
                </c:pt>
                <c:pt idx="1">
                  <c:v>58.59375</c:v>
                </c:pt>
                <c:pt idx="2">
                  <c:v>58.07692307692308</c:v>
                </c:pt>
                <c:pt idx="3">
                  <c:v>59.53125</c:v>
                </c:pt>
              </c:numCache>
            </c:numRef>
          </c:val>
          <c:extLst xmlns:c16r2="http://schemas.microsoft.com/office/drawing/2015/06/chart">
            <c:ext xmlns:c16="http://schemas.microsoft.com/office/drawing/2014/chart" uri="{C3380CC4-5D6E-409C-BE32-E72D297353CC}">
              <c16:uniqueId val="{00000001-4B51-4BAA-BC8C-90825D9B3547}"/>
            </c:ext>
          </c:extLst>
        </c:ser>
        <c:ser>
          <c:idx val="2"/>
          <c:order val="2"/>
          <c:marker>
            <c:symbol val="none"/>
          </c:marker>
          <c:val>
            <c:numRef>
              <c:f>'10 těles'!$BL$134:$BL$137</c:f>
              <c:numCache>
                <c:formatCode>General</c:formatCode>
                <c:ptCount val="4"/>
                <c:pt idx="0">
                  <c:v>56.900000000000006</c:v>
                </c:pt>
                <c:pt idx="1">
                  <c:v>55.875</c:v>
                </c:pt>
                <c:pt idx="2">
                  <c:v>55.38461538461538</c:v>
                </c:pt>
                <c:pt idx="3">
                  <c:v>56.625</c:v>
                </c:pt>
              </c:numCache>
            </c:numRef>
          </c:val>
          <c:extLst xmlns:c16r2="http://schemas.microsoft.com/office/drawing/2015/06/chart">
            <c:ext xmlns:c16="http://schemas.microsoft.com/office/drawing/2014/chart" uri="{C3380CC4-5D6E-409C-BE32-E72D297353CC}">
              <c16:uniqueId val="{00000002-4B51-4BAA-BC8C-90825D9B3547}"/>
            </c:ext>
          </c:extLst>
        </c:ser>
        <c:ser>
          <c:idx val="3"/>
          <c:order val="3"/>
          <c:marker>
            <c:symbol val="none"/>
          </c:marker>
          <c:val>
            <c:numRef>
              <c:f>'10 těles'!$BM$134:$BM$137</c:f>
              <c:numCache>
                <c:formatCode>General</c:formatCode>
                <c:ptCount val="4"/>
                <c:pt idx="0">
                  <c:v>54.749999999999993</c:v>
                </c:pt>
                <c:pt idx="1">
                  <c:v>53.645833333333336</c:v>
                </c:pt>
                <c:pt idx="2">
                  <c:v>53.205128205128212</c:v>
                </c:pt>
                <c:pt idx="3">
                  <c:v>54.375000000000007</c:v>
                </c:pt>
              </c:numCache>
            </c:numRef>
          </c:val>
          <c:extLst xmlns:c16r2="http://schemas.microsoft.com/office/drawing/2015/06/chart">
            <c:ext xmlns:c16="http://schemas.microsoft.com/office/drawing/2014/chart" uri="{C3380CC4-5D6E-409C-BE32-E72D297353CC}">
              <c16:uniqueId val="{00000003-4B51-4BAA-BC8C-90825D9B3547}"/>
            </c:ext>
          </c:extLst>
        </c:ser>
        <c:ser>
          <c:idx val="4"/>
          <c:order val="4"/>
          <c:marker>
            <c:symbol val="none"/>
          </c:marker>
          <c:val>
            <c:numRef>
              <c:f>'10 těles'!$BN$134:$BN$137</c:f>
              <c:numCache>
                <c:formatCode>General</c:formatCode>
                <c:ptCount val="4"/>
                <c:pt idx="0">
                  <c:v>49.916666666666664</c:v>
                </c:pt>
                <c:pt idx="1">
                  <c:v>48.715277777777786</c:v>
                </c:pt>
                <c:pt idx="2">
                  <c:v>48.076923076923073</c:v>
                </c:pt>
                <c:pt idx="3">
                  <c:v>48.680555555555557</c:v>
                </c:pt>
              </c:numCache>
            </c:numRef>
          </c:val>
          <c:extLst xmlns:c16r2="http://schemas.microsoft.com/office/drawing/2015/06/chart">
            <c:ext xmlns:c16="http://schemas.microsoft.com/office/drawing/2014/chart" uri="{C3380CC4-5D6E-409C-BE32-E72D297353CC}">
              <c16:uniqueId val="{00000004-4B51-4BAA-BC8C-90825D9B3547}"/>
            </c:ext>
          </c:extLst>
        </c:ser>
        <c:ser>
          <c:idx val="5"/>
          <c:order val="5"/>
          <c:marker>
            <c:symbol val="none"/>
          </c:marker>
          <c:val>
            <c:numRef>
              <c:f>'10 těles'!$BO$134:$BO$137</c:f>
              <c:numCache>
                <c:formatCode>General</c:formatCode>
                <c:ptCount val="4"/>
                <c:pt idx="0">
                  <c:v>81.000000000000014</c:v>
                </c:pt>
                <c:pt idx="1">
                  <c:v>81.09375</c:v>
                </c:pt>
                <c:pt idx="2">
                  <c:v>80.769230769230774</c:v>
                </c:pt>
                <c:pt idx="3">
                  <c:v>84.6875</c:v>
                </c:pt>
              </c:numCache>
            </c:numRef>
          </c:val>
          <c:extLst xmlns:c16r2="http://schemas.microsoft.com/office/drawing/2015/06/chart">
            <c:ext xmlns:c16="http://schemas.microsoft.com/office/drawing/2014/chart" uri="{C3380CC4-5D6E-409C-BE32-E72D297353CC}">
              <c16:uniqueId val="{00000005-4B51-4BAA-BC8C-90825D9B3547}"/>
            </c:ext>
          </c:extLst>
        </c:ser>
        <c:ser>
          <c:idx val="6"/>
          <c:order val="6"/>
          <c:marker>
            <c:symbol val="none"/>
          </c:marker>
          <c:val>
            <c:numRef>
              <c:f>'10 těles'!$BP$134:$BP$137</c:f>
              <c:numCache>
                <c:formatCode>General</c:formatCode>
                <c:ptCount val="4"/>
                <c:pt idx="0">
                  <c:v>82.083333333333329</c:v>
                </c:pt>
                <c:pt idx="1">
                  <c:v>80.520833333333329</c:v>
                </c:pt>
                <c:pt idx="2">
                  <c:v>79.871794871794876</c:v>
                </c:pt>
                <c:pt idx="3">
                  <c:v>81.666666666666686</c:v>
                </c:pt>
              </c:numCache>
            </c:numRef>
          </c:val>
          <c:extLst xmlns:c16r2="http://schemas.microsoft.com/office/drawing/2015/06/chart">
            <c:ext xmlns:c16="http://schemas.microsoft.com/office/drawing/2014/chart" uri="{C3380CC4-5D6E-409C-BE32-E72D297353CC}">
              <c16:uniqueId val="{00000006-4B51-4BAA-BC8C-90825D9B3547}"/>
            </c:ext>
          </c:extLst>
        </c:ser>
        <c:ser>
          <c:idx val="7"/>
          <c:order val="7"/>
          <c:marker>
            <c:symbol val="none"/>
          </c:marker>
          <c:val>
            <c:numRef>
              <c:f>'10 těles'!$BQ$134:$BQ$137</c:f>
              <c:numCache>
                <c:formatCode>General</c:formatCode>
                <c:ptCount val="4"/>
                <c:pt idx="0">
                  <c:v>77.5</c:v>
                </c:pt>
                <c:pt idx="1">
                  <c:v>76.015624999999986</c:v>
                </c:pt>
                <c:pt idx="2">
                  <c:v>75.288461538461533</c:v>
                </c:pt>
                <c:pt idx="3">
                  <c:v>77.03125</c:v>
                </c:pt>
              </c:numCache>
            </c:numRef>
          </c:val>
          <c:extLst xmlns:c16r2="http://schemas.microsoft.com/office/drawing/2015/06/chart">
            <c:ext xmlns:c16="http://schemas.microsoft.com/office/drawing/2014/chart" uri="{C3380CC4-5D6E-409C-BE32-E72D297353CC}">
              <c16:uniqueId val="{00000007-4B51-4BAA-BC8C-90825D9B3547}"/>
            </c:ext>
          </c:extLst>
        </c:ser>
        <c:ser>
          <c:idx val="8"/>
          <c:order val="8"/>
          <c:marker>
            <c:symbol val="none"/>
          </c:marker>
          <c:val>
            <c:numRef>
              <c:f>'10 těles'!$BR$134:$BR$137</c:f>
              <c:numCache>
                <c:formatCode>General</c:formatCode>
                <c:ptCount val="4"/>
                <c:pt idx="0">
                  <c:v>74.05</c:v>
                </c:pt>
                <c:pt idx="1">
                  <c:v>72.625</c:v>
                </c:pt>
                <c:pt idx="2">
                  <c:v>71.92307692307692</c:v>
                </c:pt>
                <c:pt idx="3">
                  <c:v>73.5</c:v>
                </c:pt>
              </c:numCache>
            </c:numRef>
          </c:val>
          <c:extLst xmlns:c16r2="http://schemas.microsoft.com/office/drawing/2015/06/chart">
            <c:ext xmlns:c16="http://schemas.microsoft.com/office/drawing/2014/chart" uri="{C3380CC4-5D6E-409C-BE32-E72D297353CC}">
              <c16:uniqueId val="{00000008-4B51-4BAA-BC8C-90825D9B3547}"/>
            </c:ext>
          </c:extLst>
        </c:ser>
        <c:ser>
          <c:idx val="9"/>
          <c:order val="9"/>
          <c:marker>
            <c:symbol val="none"/>
          </c:marker>
          <c:val>
            <c:numRef>
              <c:f>'10 těles'!$BS$134:$BS$137</c:f>
              <c:numCache>
                <c:formatCode>General</c:formatCode>
                <c:ptCount val="4"/>
                <c:pt idx="0">
                  <c:v>71.375</c:v>
                </c:pt>
                <c:pt idx="1">
                  <c:v>69.947916666666671</c:v>
                </c:pt>
                <c:pt idx="2">
                  <c:v>69.294871794871796</c:v>
                </c:pt>
                <c:pt idx="3">
                  <c:v>70.729166666666686</c:v>
                </c:pt>
              </c:numCache>
            </c:numRef>
          </c:val>
          <c:extLst xmlns:c16r2="http://schemas.microsoft.com/office/drawing/2015/06/chart">
            <c:ext xmlns:c16="http://schemas.microsoft.com/office/drawing/2014/chart" uri="{C3380CC4-5D6E-409C-BE32-E72D297353CC}">
              <c16:uniqueId val="{00000009-4B51-4BAA-BC8C-90825D9B3547}"/>
            </c:ext>
          </c:extLst>
        </c:ser>
        <c:ser>
          <c:idx val="10"/>
          <c:order val="10"/>
          <c:marker>
            <c:symbol val="none"/>
          </c:marker>
          <c:val>
            <c:numRef>
              <c:f>'10 těles'!$BT$134:$BT$137</c:f>
              <c:numCache>
                <c:formatCode>General</c:formatCode>
                <c:ptCount val="4"/>
                <c:pt idx="0">
                  <c:v>65.833333333333343</c:v>
                </c:pt>
                <c:pt idx="1">
                  <c:v>64.2361111111111</c:v>
                </c:pt>
                <c:pt idx="2">
                  <c:v>63.418803418803421</c:v>
                </c:pt>
                <c:pt idx="3">
                  <c:v>64.2361111111111</c:v>
                </c:pt>
              </c:numCache>
            </c:numRef>
          </c:val>
          <c:extLst xmlns:c16r2="http://schemas.microsoft.com/office/drawing/2015/06/chart">
            <c:ext xmlns:c16="http://schemas.microsoft.com/office/drawing/2014/chart" uri="{C3380CC4-5D6E-409C-BE32-E72D297353CC}">
              <c16:uniqueId val="{0000000A-4B51-4BAA-BC8C-90825D9B3547}"/>
            </c:ext>
          </c:extLst>
        </c:ser>
        <c:ser>
          <c:idx val="11"/>
          <c:order val="11"/>
          <c:marker>
            <c:symbol val="none"/>
          </c:marker>
          <c:val>
            <c:numRef>
              <c:f>'10 těles'!$BU$134:$BU$137</c:f>
              <c:numCache>
                <c:formatCode>General</c:formatCode>
                <c:ptCount val="4"/>
                <c:pt idx="0">
                  <c:v>116.74999999999999</c:v>
                </c:pt>
                <c:pt idx="1">
                  <c:v>116.71875</c:v>
                </c:pt>
                <c:pt idx="2">
                  <c:v>115.96153846153847</c:v>
                </c:pt>
                <c:pt idx="3">
                  <c:v>121.24999999999999</c:v>
                </c:pt>
              </c:numCache>
            </c:numRef>
          </c:val>
          <c:extLst xmlns:c16r2="http://schemas.microsoft.com/office/drawing/2015/06/chart">
            <c:ext xmlns:c16="http://schemas.microsoft.com/office/drawing/2014/chart" uri="{C3380CC4-5D6E-409C-BE32-E72D297353CC}">
              <c16:uniqueId val="{0000000B-4B51-4BAA-BC8C-90825D9B3547}"/>
            </c:ext>
          </c:extLst>
        </c:ser>
        <c:ser>
          <c:idx val="12"/>
          <c:order val="12"/>
          <c:marker>
            <c:symbol val="none"/>
          </c:marker>
          <c:val>
            <c:numRef>
              <c:f>'10 těles'!$BV$134:$BV$137</c:f>
              <c:numCache>
                <c:formatCode>General</c:formatCode>
                <c:ptCount val="4"/>
                <c:pt idx="0">
                  <c:v>116.50000000000001</c:v>
                </c:pt>
                <c:pt idx="1">
                  <c:v>114.89583333333333</c:v>
                </c:pt>
                <c:pt idx="2">
                  <c:v>114.48717948717949</c:v>
                </c:pt>
                <c:pt idx="3">
                  <c:v>118.54166666666666</c:v>
                </c:pt>
              </c:numCache>
            </c:numRef>
          </c:val>
          <c:extLst xmlns:c16r2="http://schemas.microsoft.com/office/drawing/2015/06/chart">
            <c:ext xmlns:c16="http://schemas.microsoft.com/office/drawing/2014/chart" uri="{C3380CC4-5D6E-409C-BE32-E72D297353CC}">
              <c16:uniqueId val="{0000000C-4B51-4BAA-BC8C-90825D9B3547}"/>
            </c:ext>
          </c:extLst>
        </c:ser>
        <c:ser>
          <c:idx val="13"/>
          <c:order val="13"/>
          <c:marker>
            <c:symbol val="none"/>
          </c:marker>
          <c:val>
            <c:numRef>
              <c:f>'10 těles'!$BW$134:$BW$137</c:f>
              <c:numCache>
                <c:formatCode>General</c:formatCode>
                <c:ptCount val="4"/>
                <c:pt idx="0">
                  <c:v>110.375</c:v>
                </c:pt>
                <c:pt idx="1">
                  <c:v>108.59375</c:v>
                </c:pt>
                <c:pt idx="2">
                  <c:v>107.98076923076923</c:v>
                </c:pt>
                <c:pt idx="3">
                  <c:v>111.09375</c:v>
                </c:pt>
              </c:numCache>
            </c:numRef>
          </c:val>
          <c:extLst xmlns:c16r2="http://schemas.microsoft.com/office/drawing/2015/06/chart">
            <c:ext xmlns:c16="http://schemas.microsoft.com/office/drawing/2014/chart" uri="{C3380CC4-5D6E-409C-BE32-E72D297353CC}">
              <c16:uniqueId val="{0000000D-4B51-4BAA-BC8C-90825D9B3547}"/>
            </c:ext>
          </c:extLst>
        </c:ser>
        <c:ser>
          <c:idx val="14"/>
          <c:order val="14"/>
          <c:marker>
            <c:symbol val="none"/>
          </c:marker>
          <c:val>
            <c:numRef>
              <c:f>'10 těles'!$BX$134:$BX$137</c:f>
              <c:numCache>
                <c:formatCode>General</c:formatCode>
                <c:ptCount val="4"/>
                <c:pt idx="0">
                  <c:v>105.95</c:v>
                </c:pt>
                <c:pt idx="1">
                  <c:v>103.9375</c:v>
                </c:pt>
                <c:pt idx="2">
                  <c:v>103.07692307692307</c:v>
                </c:pt>
                <c:pt idx="3">
                  <c:v>105.5</c:v>
                </c:pt>
              </c:numCache>
            </c:numRef>
          </c:val>
          <c:extLst xmlns:c16r2="http://schemas.microsoft.com/office/drawing/2015/06/chart">
            <c:ext xmlns:c16="http://schemas.microsoft.com/office/drawing/2014/chart" uri="{C3380CC4-5D6E-409C-BE32-E72D297353CC}">
              <c16:uniqueId val="{0000000E-4B51-4BAA-BC8C-90825D9B3547}"/>
            </c:ext>
          </c:extLst>
        </c:ser>
        <c:ser>
          <c:idx val="15"/>
          <c:order val="15"/>
          <c:marker>
            <c:symbol val="none"/>
          </c:marker>
          <c:val>
            <c:numRef>
              <c:f>'10 těles'!$BY$134:$BY$137</c:f>
              <c:numCache>
                <c:formatCode>General</c:formatCode>
                <c:ptCount val="4"/>
                <c:pt idx="0">
                  <c:v>102.45833333333331</c:v>
                </c:pt>
                <c:pt idx="1">
                  <c:v>100.26041666666667</c:v>
                </c:pt>
                <c:pt idx="2">
                  <c:v>99.166666666666671</c:v>
                </c:pt>
                <c:pt idx="3">
                  <c:v>100.93750000000001</c:v>
                </c:pt>
              </c:numCache>
            </c:numRef>
          </c:val>
          <c:extLst xmlns:c16r2="http://schemas.microsoft.com/office/drawing/2015/06/chart">
            <c:ext xmlns:c16="http://schemas.microsoft.com/office/drawing/2014/chart" uri="{C3380CC4-5D6E-409C-BE32-E72D297353CC}">
              <c16:uniqueId val="{0000000F-4B51-4BAA-BC8C-90825D9B3547}"/>
            </c:ext>
          </c:extLst>
        </c:ser>
        <c:ser>
          <c:idx val="16"/>
          <c:order val="16"/>
          <c:marker>
            <c:symbol val="none"/>
          </c:marker>
          <c:val>
            <c:numRef>
              <c:f>'10 těles'!$BZ$134:$BZ$137</c:f>
              <c:numCache>
                <c:formatCode>General</c:formatCode>
                <c:ptCount val="4"/>
                <c:pt idx="0">
                  <c:v>94.805555555555557</c:v>
                </c:pt>
                <c:pt idx="1">
                  <c:v>92.430555555555543</c:v>
                </c:pt>
                <c:pt idx="2">
                  <c:v>91.196581196581192</c:v>
                </c:pt>
                <c:pt idx="3">
                  <c:v>92.152777777777771</c:v>
                </c:pt>
              </c:numCache>
            </c:numRef>
          </c:val>
          <c:extLst xmlns:c16r2="http://schemas.microsoft.com/office/drawing/2015/06/chart">
            <c:ext xmlns:c16="http://schemas.microsoft.com/office/drawing/2014/chart" uri="{C3380CC4-5D6E-409C-BE32-E72D297353CC}">
              <c16:uniqueId val="{00000010-4B51-4BAA-BC8C-90825D9B3547}"/>
            </c:ext>
          </c:extLst>
        </c:ser>
        <c:marker val="1"/>
        <c:axId val="150935424"/>
        <c:axId val="150936960"/>
      </c:lineChart>
      <c:catAx>
        <c:axId val="150935424"/>
        <c:scaling>
          <c:orientation val="minMax"/>
        </c:scaling>
        <c:axPos val="b"/>
        <c:tickLblPos val="nextTo"/>
        <c:crossAx val="150936960"/>
        <c:crosses val="autoZero"/>
        <c:auto val="1"/>
        <c:lblAlgn val="ctr"/>
        <c:lblOffset val="100"/>
      </c:catAx>
      <c:valAx>
        <c:axId val="150936960"/>
        <c:scaling>
          <c:orientation val="minMax"/>
        </c:scaling>
        <c:axPos val="l"/>
        <c:majorGridlines/>
        <c:numFmt formatCode="General" sourceLinked="1"/>
        <c:tickLblPos val="nextTo"/>
        <c:crossAx val="150935424"/>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'výpočet PT'!$G$296:$G$310</c:f>
              <c:numCache>
                <c:formatCode>General</c:formatCode>
                <c:ptCount val="15"/>
                <c:pt idx="0">
                  <c:v>0.22115830115830115</c:v>
                </c:pt>
                <c:pt idx="1">
                  <c:v>0.18429858429858428</c:v>
                </c:pt>
                <c:pt idx="2">
                  <c:v>0.15797021511307224</c:v>
                </c:pt>
                <c:pt idx="3">
                  <c:v>0.14743886743886744</c:v>
                </c:pt>
                <c:pt idx="4">
                  <c:v>0.13822393822393822</c:v>
                </c:pt>
                <c:pt idx="5">
                  <c:v>0.11057915057915058</c:v>
                </c:pt>
                <c:pt idx="6">
                  <c:v>8.506088506088505E-2</c:v>
                </c:pt>
                <c:pt idx="8">
                  <c:v>0.12827181467181467</c:v>
                </c:pt>
                <c:pt idx="9">
                  <c:v>0.1068931788931789</c:v>
                </c:pt>
                <c:pt idx="10">
                  <c:v>9.1622724765581906E-2</c:v>
                </c:pt>
                <c:pt idx="11">
                  <c:v>8.5514543114543123E-2</c:v>
                </c:pt>
                <c:pt idx="12">
                  <c:v>8.0169884169884173E-2</c:v>
                </c:pt>
                <c:pt idx="13">
                  <c:v>6.4135907335907336E-2</c:v>
                </c:pt>
                <c:pt idx="14">
                  <c:v>4.9335313335313338E-2</c:v>
                </c:pt>
              </c:numCache>
            </c:numRef>
          </c:val>
          <c:extLst xmlns:c16r2="http://schemas.microsoft.com/office/drawing/2015/06/chart">
            <c:ext xmlns:c16="http://schemas.microsoft.com/office/drawing/2014/chart" uri="{C3380CC4-5D6E-409C-BE32-E72D297353CC}">
              <c16:uniqueId val="{00000000-C1D2-4419-B044-1CF2F935DA99}"/>
            </c:ext>
          </c:extLst>
        </c:ser>
        <c:axId val="155744128"/>
        <c:axId val="155745664"/>
      </c:barChart>
      <c:catAx>
        <c:axId val="155744128"/>
        <c:scaling>
          <c:orientation val="minMax"/>
        </c:scaling>
        <c:axPos val="b"/>
        <c:tickLblPos val="nextTo"/>
        <c:crossAx val="155745664"/>
        <c:crosses val="autoZero"/>
        <c:auto val="1"/>
        <c:lblAlgn val="ctr"/>
        <c:lblOffset val="100"/>
      </c:catAx>
      <c:valAx>
        <c:axId val="155745664"/>
        <c:scaling>
          <c:orientation val="minMax"/>
        </c:scaling>
        <c:axPos val="l"/>
        <c:majorGridlines/>
        <c:numFmt formatCode="General" sourceLinked="1"/>
        <c:tickLblPos val="nextTo"/>
        <c:crossAx val="155744128"/>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Porovnání exponent-Altšula-TZB</a:t>
            </a:r>
            <a:endParaRPr lang="en-US" sz="1000" baseline="0"/>
          </a:p>
        </c:rich>
      </c:tx>
    </c:title>
    <c:plotArea>
      <c:layout/>
      <c:scatterChart>
        <c:scatterStyle val="lineMarker"/>
        <c:ser>
          <c:idx val="0"/>
          <c:order val="0"/>
          <c:tx>
            <c:strRef>
              <c:f>'výpočet PT'!$I$312</c:f>
              <c:strCache>
                <c:ptCount val="1"/>
                <c:pt idx="0">
                  <c:v>exp</c:v>
                </c:pt>
              </c:strCache>
            </c:strRef>
          </c:tx>
          <c:xVal>
            <c:numRef>
              <c:f>'výpočet PT'!$F$313:$F$321</c:f>
              <c:numCache>
                <c:formatCode>General</c:formatCode>
                <c:ptCount val="9"/>
                <c:pt idx="0">
                  <c:v>3</c:v>
                </c:pt>
                <c:pt idx="1">
                  <c:v>5</c:v>
                </c:pt>
                <c:pt idx="2">
                  <c:v>10</c:v>
                </c:pt>
                <c:pt idx="3">
                  <c:v>15</c:v>
                </c:pt>
                <c:pt idx="4">
                  <c:v>20</c:v>
                </c:pt>
                <c:pt idx="5">
                  <c:v>30</c:v>
                </c:pt>
                <c:pt idx="6">
                  <c:v>60</c:v>
                </c:pt>
                <c:pt idx="7">
                  <c:v>100</c:v>
                </c:pt>
                <c:pt idx="8">
                  <c:v>200</c:v>
                </c:pt>
              </c:numCache>
            </c:numRef>
          </c:xVal>
          <c:yVal>
            <c:numRef>
              <c:f>'výpočet PT'!$I$313:$I$321</c:f>
              <c:numCache>
                <c:formatCode>General</c:formatCode>
                <c:ptCount val="9"/>
                <c:pt idx="0">
                  <c:v>1.062073533827074E-2</c:v>
                </c:pt>
                <c:pt idx="1">
                  <c:v>2.5701171728839154E-2</c:v>
                </c:pt>
                <c:pt idx="2">
                  <c:v>8.5257936260239434E-2</c:v>
                </c:pt>
                <c:pt idx="3">
                  <c:v>0.17193832601290035</c:v>
                </c:pt>
                <c:pt idx="4">
                  <c:v>0.28282429190567332</c:v>
                </c:pt>
                <c:pt idx="5">
                  <c:v>0.57036725774845565</c:v>
                </c:pt>
                <c:pt idx="6">
                  <c:v>1.8920668605735109</c:v>
                </c:pt>
                <c:pt idx="7">
                  <c:v>4.5786222664656862</c:v>
                </c:pt>
                <c:pt idx="8">
                  <c:v>15.188563753924855</c:v>
                </c:pt>
              </c:numCache>
            </c:numRef>
          </c:yVal>
          <c:extLst xmlns:c16r2="http://schemas.microsoft.com/office/drawing/2015/06/chart">
            <c:ext xmlns:c16="http://schemas.microsoft.com/office/drawing/2014/chart" uri="{C3380CC4-5D6E-409C-BE32-E72D297353CC}">
              <c16:uniqueId val="{00000000-F042-4998-B01F-FA5135582FF8}"/>
            </c:ext>
          </c:extLst>
        </c:ser>
        <c:ser>
          <c:idx val="1"/>
          <c:order val="1"/>
          <c:tx>
            <c:strRef>
              <c:f>'výpočet PT'!$J$312</c:f>
              <c:strCache>
                <c:ptCount val="1"/>
                <c:pt idx="0">
                  <c:v>podle vzorce Altšula</c:v>
                </c:pt>
              </c:strCache>
            </c:strRef>
          </c:tx>
          <c:xVal>
            <c:numRef>
              <c:f>'výpočet PT'!$F$313:$F$321</c:f>
              <c:numCache>
                <c:formatCode>General</c:formatCode>
                <c:ptCount val="9"/>
                <c:pt idx="0">
                  <c:v>3</c:v>
                </c:pt>
                <c:pt idx="1">
                  <c:v>5</c:v>
                </c:pt>
                <c:pt idx="2">
                  <c:v>10</c:v>
                </c:pt>
                <c:pt idx="3">
                  <c:v>15</c:v>
                </c:pt>
                <c:pt idx="4">
                  <c:v>20</c:v>
                </c:pt>
                <c:pt idx="5">
                  <c:v>30</c:v>
                </c:pt>
                <c:pt idx="6">
                  <c:v>60</c:v>
                </c:pt>
                <c:pt idx="7">
                  <c:v>100</c:v>
                </c:pt>
                <c:pt idx="8">
                  <c:v>200</c:v>
                </c:pt>
              </c:numCache>
            </c:numRef>
          </c:xVal>
          <c:yVal>
            <c:numRef>
              <c:f>'výpočet PT'!$J$313:$J$321</c:f>
              <c:numCache>
                <c:formatCode>General</c:formatCode>
                <c:ptCount val="9"/>
                <c:pt idx="0">
                  <c:v>9.5541284347195506E-3</c:v>
                </c:pt>
                <c:pt idx="1">
                  <c:v>2.3358062293317036E-2</c:v>
                </c:pt>
                <c:pt idx="2">
                  <c:v>7.8571557789598179E-2</c:v>
                </c:pt>
                <c:pt idx="3">
                  <c:v>0.15975377147620995</c:v>
                </c:pt>
                <c:pt idx="4">
                  <c:v>0.26431387109828891</c:v>
                </c:pt>
                <c:pt idx="5">
                  <c:v>0.53744216121710586</c:v>
                </c:pt>
                <c:pt idx="6">
                  <c:v>1.8083825112626359</c:v>
                </c:pt>
                <c:pt idx="7">
                  <c:v>4.4231672276407581</c:v>
                </c:pt>
                <c:pt idx="8">
                  <c:v>14.895445316170667</c:v>
                </c:pt>
              </c:numCache>
            </c:numRef>
          </c:yVal>
          <c:extLst xmlns:c16r2="http://schemas.microsoft.com/office/drawing/2015/06/chart">
            <c:ext xmlns:c16="http://schemas.microsoft.com/office/drawing/2014/chart" uri="{C3380CC4-5D6E-409C-BE32-E72D297353CC}">
              <c16:uniqueId val="{00000001-F042-4998-B01F-FA5135582FF8}"/>
            </c:ext>
          </c:extLst>
        </c:ser>
        <c:ser>
          <c:idx val="2"/>
          <c:order val="2"/>
          <c:tx>
            <c:strRef>
              <c:f>'výpočet PT'!$K$312</c:f>
              <c:strCache>
                <c:ptCount val="1"/>
                <c:pt idx="0">
                  <c:v>laminár</c:v>
                </c:pt>
              </c:strCache>
            </c:strRef>
          </c:tx>
          <c:xVal>
            <c:numRef>
              <c:f>'výpočet PT'!$F$313:$F$321</c:f>
              <c:numCache>
                <c:formatCode>General</c:formatCode>
                <c:ptCount val="9"/>
                <c:pt idx="0">
                  <c:v>3</c:v>
                </c:pt>
                <c:pt idx="1">
                  <c:v>5</c:v>
                </c:pt>
                <c:pt idx="2">
                  <c:v>10</c:v>
                </c:pt>
                <c:pt idx="3">
                  <c:v>15</c:v>
                </c:pt>
                <c:pt idx="4">
                  <c:v>20</c:v>
                </c:pt>
                <c:pt idx="5">
                  <c:v>30</c:v>
                </c:pt>
                <c:pt idx="6">
                  <c:v>60</c:v>
                </c:pt>
                <c:pt idx="7">
                  <c:v>100</c:v>
                </c:pt>
                <c:pt idx="8">
                  <c:v>200</c:v>
                </c:pt>
              </c:numCache>
            </c:numRef>
          </c:xVal>
          <c:yVal>
            <c:numRef>
              <c:f>'výpočet PT'!$K$313:$K$321</c:f>
              <c:numCache>
                <c:formatCode>General</c:formatCode>
                <c:ptCount val="9"/>
                <c:pt idx="0">
                  <c:v>4.8300557124470726E-2</c:v>
                </c:pt>
                <c:pt idx="1">
                  <c:v>8.0500928540784528E-2</c:v>
                </c:pt>
                <c:pt idx="2">
                  <c:v>0.16100185708156906</c:v>
                </c:pt>
                <c:pt idx="3">
                  <c:v>0.24150278562235364</c:v>
                </c:pt>
                <c:pt idx="4">
                  <c:v>0.32200371416313811</c:v>
                </c:pt>
                <c:pt idx="5">
                  <c:v>0.48300557124470728</c:v>
                </c:pt>
                <c:pt idx="6">
                  <c:v>0.96601114248941455</c:v>
                </c:pt>
                <c:pt idx="7">
                  <c:v>1.6100185708156913</c:v>
                </c:pt>
                <c:pt idx="8">
                  <c:v>3.2200371416313827</c:v>
                </c:pt>
              </c:numCache>
            </c:numRef>
          </c:yVal>
          <c:extLst xmlns:c16r2="http://schemas.microsoft.com/office/drawing/2015/06/chart">
            <c:ext xmlns:c16="http://schemas.microsoft.com/office/drawing/2014/chart" uri="{C3380CC4-5D6E-409C-BE32-E72D297353CC}">
              <c16:uniqueId val="{00000002-F042-4998-B01F-FA5135582FF8}"/>
            </c:ext>
          </c:extLst>
        </c:ser>
        <c:ser>
          <c:idx val="3"/>
          <c:order val="3"/>
          <c:tx>
            <c:strRef>
              <c:f>'výpočet PT'!$L$312</c:f>
              <c:strCache>
                <c:ptCount val="1"/>
                <c:pt idx="0">
                  <c:v>TZB</c:v>
                </c:pt>
              </c:strCache>
            </c:strRef>
          </c:tx>
          <c:xVal>
            <c:numRef>
              <c:f>'výpočet PT'!$F$313:$F$321</c:f>
              <c:numCache>
                <c:formatCode>General</c:formatCode>
                <c:ptCount val="9"/>
                <c:pt idx="0">
                  <c:v>3</c:v>
                </c:pt>
                <c:pt idx="1">
                  <c:v>5</c:v>
                </c:pt>
                <c:pt idx="2">
                  <c:v>10</c:v>
                </c:pt>
                <c:pt idx="3">
                  <c:v>15</c:v>
                </c:pt>
                <c:pt idx="4">
                  <c:v>20</c:v>
                </c:pt>
                <c:pt idx="5">
                  <c:v>30</c:v>
                </c:pt>
                <c:pt idx="6">
                  <c:v>60</c:v>
                </c:pt>
                <c:pt idx="7">
                  <c:v>100</c:v>
                </c:pt>
                <c:pt idx="8">
                  <c:v>200</c:v>
                </c:pt>
              </c:numCache>
            </c:numRef>
          </c:xVal>
          <c:yVal>
            <c:numRef>
              <c:f>'výpočet PT'!$L$313:$L$321</c:f>
              <c:numCache>
                <c:formatCode>General</c:formatCode>
                <c:ptCount val="9"/>
                <c:pt idx="0">
                  <c:v>8.8999999999999996E-2</c:v>
                </c:pt>
                <c:pt idx="1">
                  <c:v>8.9200000000000002E-2</c:v>
                </c:pt>
                <c:pt idx="2">
                  <c:v>0.17835400000000001</c:v>
                </c:pt>
                <c:pt idx="3">
                  <c:v>0.26700000000000002</c:v>
                </c:pt>
                <c:pt idx="4">
                  <c:v>0.35670800000000003</c:v>
                </c:pt>
                <c:pt idx="5">
                  <c:v>0.44500000000000001</c:v>
                </c:pt>
                <c:pt idx="6">
                  <c:v>1.32</c:v>
                </c:pt>
                <c:pt idx="7">
                  <c:v>4.4000000000000004</c:v>
                </c:pt>
                <c:pt idx="8">
                  <c:v>14.52</c:v>
                </c:pt>
              </c:numCache>
            </c:numRef>
          </c:yVal>
          <c:extLst xmlns:c16r2="http://schemas.microsoft.com/office/drawing/2015/06/chart">
            <c:ext xmlns:c16="http://schemas.microsoft.com/office/drawing/2014/chart" uri="{C3380CC4-5D6E-409C-BE32-E72D297353CC}">
              <c16:uniqueId val="{00000003-F042-4998-B01F-FA5135582FF8}"/>
            </c:ext>
          </c:extLst>
        </c:ser>
        <c:axId val="156832128"/>
        <c:axId val="156833664"/>
      </c:scatterChart>
      <c:valAx>
        <c:axId val="156832128"/>
        <c:scaling>
          <c:logBase val="10"/>
          <c:orientation val="minMax"/>
        </c:scaling>
        <c:axPos val="b"/>
        <c:minorGridlines/>
        <c:numFmt formatCode="General" sourceLinked="1"/>
        <c:tickLblPos val="nextTo"/>
        <c:crossAx val="156833664"/>
        <c:crosses val="autoZero"/>
        <c:crossBetween val="midCat"/>
      </c:valAx>
      <c:valAx>
        <c:axId val="156833664"/>
        <c:scaling>
          <c:logBase val="10"/>
          <c:orientation val="minMax"/>
          <c:max val="100"/>
          <c:min val="1.0000000000000005E-2"/>
        </c:scaling>
        <c:axPos val="l"/>
        <c:majorGridlines/>
        <c:numFmt formatCode="General" sourceLinked="1"/>
        <c:tickLblPos val="nextTo"/>
        <c:crossAx val="15683212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a:t>poměr</a:t>
            </a:r>
          </a:p>
        </c:rich>
      </c:tx>
    </c:title>
    <c:plotArea>
      <c:layout/>
      <c:scatterChart>
        <c:scatterStyle val="lineMarker"/>
        <c:ser>
          <c:idx val="0"/>
          <c:order val="0"/>
          <c:tx>
            <c:strRef>
              <c:f>'výpočet PT'!$M$312</c:f>
              <c:strCache>
                <c:ptCount val="1"/>
                <c:pt idx="0">
                  <c:v>poměr TZB/Altšula</c:v>
                </c:pt>
              </c:strCache>
            </c:strRef>
          </c:tx>
          <c:xVal>
            <c:numRef>
              <c:f>'výpočet PT'!$F$313:$F$321</c:f>
              <c:numCache>
                <c:formatCode>General</c:formatCode>
                <c:ptCount val="9"/>
                <c:pt idx="0">
                  <c:v>3</c:v>
                </c:pt>
                <c:pt idx="1">
                  <c:v>5</c:v>
                </c:pt>
                <c:pt idx="2">
                  <c:v>10</c:v>
                </c:pt>
                <c:pt idx="3">
                  <c:v>15</c:v>
                </c:pt>
                <c:pt idx="4">
                  <c:v>20</c:v>
                </c:pt>
                <c:pt idx="5">
                  <c:v>30</c:v>
                </c:pt>
                <c:pt idx="6">
                  <c:v>60</c:v>
                </c:pt>
                <c:pt idx="7">
                  <c:v>100</c:v>
                </c:pt>
                <c:pt idx="8">
                  <c:v>200</c:v>
                </c:pt>
              </c:numCache>
            </c:numRef>
          </c:xVal>
          <c:yVal>
            <c:numRef>
              <c:f>'výpočet PT'!$M$313:$M$321</c:f>
              <c:numCache>
                <c:formatCode>General</c:formatCode>
                <c:ptCount val="9"/>
                <c:pt idx="0">
                  <c:v>9.3153447337567084</c:v>
                </c:pt>
                <c:pt idx="1">
                  <c:v>3.8188099200985937</c:v>
                </c:pt>
                <c:pt idx="2">
                  <c:v>2.2699562668415325</c:v>
                </c:pt>
                <c:pt idx="3">
                  <c:v>1.6713220447491022</c:v>
                </c:pt>
                <c:pt idx="4">
                  <c:v>1.3495621645500135</c:v>
                </c:pt>
                <c:pt idx="5">
                  <c:v>0.82799607494923944</c:v>
                </c:pt>
                <c:pt idx="6">
                  <c:v>0.72993406637092451</c:v>
                </c:pt>
                <c:pt idx="7">
                  <c:v>0.99476229894814205</c:v>
                </c:pt>
                <c:pt idx="8">
                  <c:v>0.97479462290643437</c:v>
                </c:pt>
              </c:numCache>
            </c:numRef>
          </c:yVal>
          <c:extLst xmlns:c16r2="http://schemas.microsoft.com/office/drawing/2015/06/chart">
            <c:ext xmlns:c16="http://schemas.microsoft.com/office/drawing/2014/chart" uri="{C3380CC4-5D6E-409C-BE32-E72D297353CC}">
              <c16:uniqueId val="{00000000-38AE-4B90-847A-A174C47BE761}"/>
            </c:ext>
          </c:extLst>
        </c:ser>
        <c:axId val="156853760"/>
        <c:axId val="156855296"/>
      </c:scatterChart>
      <c:valAx>
        <c:axId val="156853760"/>
        <c:scaling>
          <c:orientation val="minMax"/>
        </c:scaling>
        <c:axPos val="b"/>
        <c:numFmt formatCode="General" sourceLinked="1"/>
        <c:tickLblPos val="nextTo"/>
        <c:crossAx val="156855296"/>
        <c:crosses val="autoZero"/>
        <c:crossBetween val="midCat"/>
      </c:valAx>
      <c:valAx>
        <c:axId val="156855296"/>
        <c:scaling>
          <c:logBase val="10"/>
          <c:orientation val="minMax"/>
        </c:scaling>
        <c:axPos val="l"/>
        <c:majorGridlines/>
        <c:minorGridlines/>
        <c:numFmt formatCode="General" sourceLinked="1"/>
        <c:tickLblPos val="nextTo"/>
        <c:crossAx val="15685376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'výpočet PT'!$U$239:$U$240</c:f>
              <c:numCache>
                <c:formatCode>General</c:formatCode>
                <c:ptCount val="2"/>
                <c:pt idx="0">
                  <c:v>14.483845468369401</c:v>
                </c:pt>
                <c:pt idx="1">
                  <c:v>11.6384223556765</c:v>
                </c:pt>
              </c:numCache>
            </c:numRef>
          </c:val>
          <c:extLst xmlns:c16r2="http://schemas.microsoft.com/office/drawing/2015/06/chart">
            <c:ext xmlns:c16="http://schemas.microsoft.com/office/drawing/2014/chart" uri="{C3380CC4-5D6E-409C-BE32-E72D297353CC}">
              <c16:uniqueId val="{00000000-4526-48FA-9955-BB163E6AC317}"/>
            </c:ext>
          </c:extLst>
        </c:ser>
        <c:ser>
          <c:idx val="1"/>
          <c:order val="1"/>
          <c:val>
            <c:numRef>
              <c:f>'výpočet PT'!$V$239:$V$240</c:f>
              <c:numCache>
                <c:formatCode>General</c:formatCode>
                <c:ptCount val="2"/>
                <c:pt idx="0">
                  <c:v>14.853333333333333</c:v>
                </c:pt>
                <c:pt idx="1">
                  <c:v>11.971428571428572</c:v>
                </c:pt>
              </c:numCache>
            </c:numRef>
          </c:val>
          <c:extLst xmlns:c16r2="http://schemas.microsoft.com/office/drawing/2015/06/chart">
            <c:ext xmlns:c16="http://schemas.microsoft.com/office/drawing/2014/chart" uri="{C3380CC4-5D6E-409C-BE32-E72D297353CC}">
              <c16:uniqueId val="{00000001-4526-48FA-9955-BB163E6AC317}"/>
            </c:ext>
          </c:extLst>
        </c:ser>
        <c:ser>
          <c:idx val="2"/>
          <c:order val="2"/>
          <c:val>
            <c:numRef>
              <c:f>'výpočet PT'!$W$239:$W$240</c:f>
              <c:numCache>
                <c:formatCode>General</c:formatCode>
                <c:ptCount val="2"/>
                <c:pt idx="0">
                  <c:v>14.218</c:v>
                </c:pt>
                <c:pt idx="1">
                  <c:v>11.84</c:v>
                </c:pt>
              </c:numCache>
            </c:numRef>
          </c:val>
          <c:extLst xmlns:c16r2="http://schemas.microsoft.com/office/drawing/2015/06/chart">
            <c:ext xmlns:c16="http://schemas.microsoft.com/office/drawing/2014/chart" uri="{C3380CC4-5D6E-409C-BE32-E72D297353CC}">
              <c16:uniqueId val="{00000002-4526-48FA-9955-BB163E6AC317}"/>
            </c:ext>
          </c:extLst>
        </c:ser>
        <c:axId val="156962816"/>
        <c:axId val="156964352"/>
      </c:barChart>
      <c:catAx>
        <c:axId val="156962816"/>
        <c:scaling>
          <c:orientation val="minMax"/>
        </c:scaling>
        <c:axPos val="b"/>
        <c:tickLblPos val="nextTo"/>
        <c:crossAx val="156964352"/>
        <c:crosses val="autoZero"/>
        <c:auto val="1"/>
        <c:lblAlgn val="ctr"/>
        <c:lblOffset val="100"/>
      </c:catAx>
      <c:valAx>
        <c:axId val="156964352"/>
        <c:scaling>
          <c:orientation val="minMax"/>
        </c:scaling>
        <c:axPos val="l"/>
        <c:majorGridlines/>
        <c:numFmt formatCode="General" sourceLinked="1"/>
        <c:tickLblPos val="nextTo"/>
        <c:crossAx val="156962816"/>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Závislost plošného výkonu na rozteči. Zadán vnitřní průměr trubky ((B79) , plocha (B75) a tlak čerpadla (B78)</a:t>
            </a:r>
          </a:p>
        </c:rich>
      </c:tx>
    </c:title>
    <c:plotArea>
      <c:layout/>
      <c:scatterChart>
        <c:scatterStyle val="lineMarker"/>
        <c:ser>
          <c:idx val="0"/>
          <c:order val="0"/>
          <c:tx>
            <c:strRef>
              <c:f>'výpočet PT'!$A$68</c:f>
              <c:strCache>
                <c:ptCount val="1"/>
                <c:pt idx="0">
                  <c:v>°C požadovaná v místnosti</c:v>
                </c:pt>
              </c:strCache>
            </c:strRef>
          </c:tx>
          <c:xVal>
            <c:numRef>
              <c:f>'výpočet PT'!$B$67:$M$67</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PT'!$B$68:$M$68</c:f>
              <c:numCache>
                <c:formatCode>General</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yVal>
          <c:extLst xmlns:c16r2="http://schemas.microsoft.com/office/drawing/2015/06/chart">
            <c:ext xmlns:c16="http://schemas.microsoft.com/office/drawing/2014/chart" uri="{C3380CC4-5D6E-409C-BE32-E72D297353CC}">
              <c16:uniqueId val="{00000000-C1C8-46F5-9683-2BFBCB5A37B2}"/>
            </c:ext>
          </c:extLst>
        </c:ser>
        <c:ser>
          <c:idx val="1"/>
          <c:order val="1"/>
          <c:tx>
            <c:strRef>
              <c:f>'výpočet PT'!$A$69</c:f>
              <c:strCache>
                <c:ptCount val="1"/>
                <c:pt idx="0">
                  <c:v>°C nátoková teplota</c:v>
                </c:pt>
              </c:strCache>
            </c:strRef>
          </c:tx>
          <c:xVal>
            <c:numRef>
              <c:f>'výpočet PT'!$B$67:$M$67</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PT'!$B$69:$M$69</c:f>
              <c:numCache>
                <c:formatCode>General</c:formatCode>
                <c:ptCount val="12"/>
                <c:pt idx="0">
                  <c:v>30</c:v>
                </c:pt>
                <c:pt idx="1">
                  <c:v>30</c:v>
                </c:pt>
                <c:pt idx="2">
                  <c:v>30</c:v>
                </c:pt>
                <c:pt idx="3">
                  <c:v>30</c:v>
                </c:pt>
                <c:pt idx="4">
                  <c:v>30</c:v>
                </c:pt>
                <c:pt idx="5">
                  <c:v>30</c:v>
                </c:pt>
                <c:pt idx="6">
                  <c:v>30</c:v>
                </c:pt>
                <c:pt idx="7">
                  <c:v>30</c:v>
                </c:pt>
                <c:pt idx="8">
                  <c:v>30</c:v>
                </c:pt>
                <c:pt idx="9">
                  <c:v>30</c:v>
                </c:pt>
                <c:pt idx="10">
                  <c:v>30</c:v>
                </c:pt>
                <c:pt idx="11">
                  <c:v>30</c:v>
                </c:pt>
              </c:numCache>
            </c:numRef>
          </c:yVal>
          <c:extLst xmlns:c16r2="http://schemas.microsoft.com/office/drawing/2015/06/chart">
            <c:ext xmlns:c16="http://schemas.microsoft.com/office/drawing/2014/chart" uri="{C3380CC4-5D6E-409C-BE32-E72D297353CC}">
              <c16:uniqueId val="{00000001-C1C8-46F5-9683-2BFBCB5A37B2}"/>
            </c:ext>
          </c:extLst>
        </c:ser>
        <c:ser>
          <c:idx val="2"/>
          <c:order val="2"/>
          <c:tx>
            <c:strRef>
              <c:f>'výpočet PT'!$A$70</c:f>
              <c:strCache>
                <c:ptCount val="1"/>
                <c:pt idx="0">
                  <c:v>°C zpátečka</c:v>
                </c:pt>
              </c:strCache>
            </c:strRef>
          </c:tx>
          <c:xVal>
            <c:numRef>
              <c:f>'výpočet PT'!$B$67:$M$67</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PT'!$B$70:$M$70</c:f>
              <c:numCache>
                <c:formatCode>General</c:formatCode>
                <c:ptCount val="12"/>
                <c:pt idx="0">
                  <c:v>20.246502699074181</c:v>
                </c:pt>
                <c:pt idx="1">
                  <c:v>20.874786377329944</c:v>
                </c:pt>
                <c:pt idx="2">
                  <c:v>21.536585685601022</c:v>
                </c:pt>
                <c:pt idx="3">
                  <c:v>22.170179983757592</c:v>
                </c:pt>
                <c:pt idx="4">
                  <c:v>22.767554834535375</c:v>
                </c:pt>
                <c:pt idx="5">
                  <c:v>24.093974933423038</c:v>
                </c:pt>
                <c:pt idx="6">
                  <c:v>25.176059474880709</c:v>
                </c:pt>
                <c:pt idx="7">
                  <c:v>26.698786575354895</c:v>
                </c:pt>
                <c:pt idx="8">
                  <c:v>27.629139848993518</c:v>
                </c:pt>
                <c:pt idx="9">
                  <c:v>28.217373032766382</c:v>
                </c:pt>
                <c:pt idx="10">
                  <c:v>28.607960222916901</c:v>
                </c:pt>
                <c:pt idx="11">
                  <c:v>28.879504188845811</c:v>
                </c:pt>
              </c:numCache>
            </c:numRef>
          </c:yVal>
          <c:extLst xmlns:c16r2="http://schemas.microsoft.com/office/drawing/2015/06/chart">
            <c:ext xmlns:c16="http://schemas.microsoft.com/office/drawing/2014/chart" uri="{C3380CC4-5D6E-409C-BE32-E72D297353CC}">
              <c16:uniqueId val="{00000002-C1C8-46F5-9683-2BFBCB5A37B2}"/>
            </c:ext>
          </c:extLst>
        </c:ser>
        <c:ser>
          <c:idx val="3"/>
          <c:order val="3"/>
          <c:tx>
            <c:strRef>
              <c:f>'výpočet PT'!$A$71</c:f>
              <c:strCache>
                <c:ptCount val="1"/>
                <c:pt idx="0">
                  <c:v>W/m2 výkon podlahy - výkon dolů nepočítám, u 10 cm polystyrenu bývá 3W/m2 - u malých výkonů proveďte korekci nižší teplotou interiéru, např místo 20 jen 19,7°C</c:v>
                </c:pt>
              </c:strCache>
            </c:strRef>
          </c:tx>
          <c:xVal>
            <c:numRef>
              <c:f>'výpočet PT'!$B$67:$M$67</c:f>
              <c:numCache>
                <c:formatCode>General</c:formatCode>
                <c:ptCount val="12"/>
                <c:pt idx="0">
                  <c:v>0.02</c:v>
                </c:pt>
                <c:pt idx="1">
                  <c:v>0.04</c:v>
                </c:pt>
                <c:pt idx="2">
                  <c:v>0.06</c:v>
                </c:pt>
                <c:pt idx="3">
                  <c:v>0.08</c:v>
                </c:pt>
                <c:pt idx="4">
                  <c:v>0.1</c:v>
                </c:pt>
                <c:pt idx="5">
                  <c:v>0.15</c:v>
                </c:pt>
                <c:pt idx="6">
                  <c:v>0.2</c:v>
                </c:pt>
                <c:pt idx="7">
                  <c:v>0.3</c:v>
                </c:pt>
                <c:pt idx="8">
                  <c:v>0.4</c:v>
                </c:pt>
                <c:pt idx="9">
                  <c:v>0.5</c:v>
                </c:pt>
                <c:pt idx="10">
                  <c:v>0.6</c:v>
                </c:pt>
                <c:pt idx="11">
                  <c:v>0.7</c:v>
                </c:pt>
              </c:numCache>
            </c:numRef>
          </c:xVal>
          <c:yVal>
            <c:numRef>
              <c:f>'výpočet PT'!$B$71:$M$71</c:f>
              <c:numCache>
                <c:formatCode>General</c:formatCode>
                <c:ptCount val="12"/>
                <c:pt idx="0">
                  <c:v>17.452385615121905</c:v>
                </c:pt>
                <c:pt idx="1">
                  <c:v>24.374922870626236</c:v>
                </c:pt>
                <c:pt idx="2">
                  <c:v>28.578054926249827</c:v>
                </c:pt>
                <c:pt idx="3">
                  <c:v>31.221787741755591</c:v>
                </c:pt>
                <c:pt idx="4">
                  <c:v>32.810170408133871</c:v>
                </c:pt>
                <c:pt idx="5">
                  <c:v>33.869242004344684</c:v>
                </c:pt>
                <c:pt idx="6">
                  <c:v>32.66864028728552</c:v>
                </c:pt>
                <c:pt idx="7">
                  <c:v>28.261133182847757</c:v>
                </c:pt>
                <c:pt idx="8">
                  <c:v>23.968498534168798</c:v>
                </c:pt>
                <c:pt idx="9">
                  <c:v>20.502778166274403</c:v>
                </c:pt>
                <c:pt idx="10">
                  <c:v>17.789895307386516</c:v>
                </c:pt>
                <c:pt idx="11">
                  <c:v>15.654152149101119</c:v>
                </c:pt>
              </c:numCache>
            </c:numRef>
          </c:yVal>
          <c:extLst xmlns:c16r2="http://schemas.microsoft.com/office/drawing/2015/06/chart">
            <c:ext xmlns:c16="http://schemas.microsoft.com/office/drawing/2014/chart" uri="{C3380CC4-5D6E-409C-BE32-E72D297353CC}">
              <c16:uniqueId val="{00000003-C1C8-46F5-9683-2BFBCB5A37B2}"/>
            </c:ext>
          </c:extLst>
        </c:ser>
        <c:axId val="156985984"/>
        <c:axId val="157024640"/>
      </c:scatterChart>
      <c:valAx>
        <c:axId val="156985984"/>
        <c:scaling>
          <c:logBase val="10"/>
          <c:orientation val="minMax"/>
        </c:scaling>
        <c:axPos val="b"/>
        <c:majorGridlines/>
        <c:minorGridlines/>
        <c:numFmt formatCode="General" sourceLinked="1"/>
        <c:tickLblPos val="nextTo"/>
        <c:crossAx val="157024640"/>
        <c:crosses val="autoZero"/>
        <c:crossBetween val="midCat"/>
      </c:valAx>
      <c:valAx>
        <c:axId val="157024640"/>
        <c:scaling>
          <c:orientation val="minMax"/>
        </c:scaling>
        <c:axPos val="l"/>
        <c:majorGridlines/>
        <c:numFmt formatCode="General" sourceLinked="1"/>
        <c:tickLblPos val="nextTo"/>
        <c:crossAx val="156985984"/>
        <c:crosses val="autoZero"/>
        <c:crossBetween val="midCat"/>
      </c:valAx>
    </c:plotArea>
    <c:legend>
      <c:legendPos val="r"/>
      <c:layout>
        <c:manualLayout>
          <c:xMode val="edge"/>
          <c:yMode val="edge"/>
          <c:x val="0.67009492336774812"/>
          <c:y val="8.2558663906851099E-2"/>
          <c:w val="0.31436103518148739"/>
          <c:h val="0.91440752832724048"/>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'výpočet PT'!$S$90:$S$92</c:f>
              <c:numCache>
                <c:formatCode>General</c:formatCode>
                <c:ptCount val="3"/>
                <c:pt idx="0">
                  <c:v>23.5</c:v>
                </c:pt>
                <c:pt idx="1">
                  <c:v>24</c:v>
                </c:pt>
                <c:pt idx="2">
                  <c:v>25.2</c:v>
                </c:pt>
              </c:numCache>
            </c:numRef>
          </c:val>
          <c:extLst xmlns:c16r2="http://schemas.microsoft.com/office/drawing/2015/06/chart">
            <c:ext xmlns:c16="http://schemas.microsoft.com/office/drawing/2014/chart" uri="{C3380CC4-5D6E-409C-BE32-E72D297353CC}">
              <c16:uniqueId val="{00000000-BF43-4C9C-A498-5C97C7DB9F64}"/>
            </c:ext>
          </c:extLst>
        </c:ser>
        <c:ser>
          <c:idx val="1"/>
          <c:order val="1"/>
          <c:val>
            <c:numRef>
              <c:f>'výpočet PT'!$T$90:$T$92</c:f>
              <c:numCache>
                <c:formatCode>General</c:formatCode>
                <c:ptCount val="3"/>
                <c:pt idx="0">
                  <c:v>24.5</c:v>
                </c:pt>
                <c:pt idx="1">
                  <c:v>25.1</c:v>
                </c:pt>
                <c:pt idx="2">
                  <c:v>25.8</c:v>
                </c:pt>
              </c:numCache>
            </c:numRef>
          </c:val>
          <c:extLst xmlns:c16r2="http://schemas.microsoft.com/office/drawing/2015/06/chart">
            <c:ext xmlns:c16="http://schemas.microsoft.com/office/drawing/2014/chart" uri="{C3380CC4-5D6E-409C-BE32-E72D297353CC}">
              <c16:uniqueId val="{00000001-BF43-4C9C-A498-5C97C7DB9F64}"/>
            </c:ext>
          </c:extLst>
        </c:ser>
        <c:axId val="157053696"/>
        <c:axId val="157055232"/>
      </c:barChart>
      <c:catAx>
        <c:axId val="157053696"/>
        <c:scaling>
          <c:orientation val="minMax"/>
        </c:scaling>
        <c:axPos val="b"/>
        <c:tickLblPos val="nextTo"/>
        <c:crossAx val="157055232"/>
        <c:crosses val="autoZero"/>
        <c:auto val="1"/>
        <c:lblAlgn val="ctr"/>
        <c:lblOffset val="100"/>
      </c:catAx>
      <c:valAx>
        <c:axId val="157055232"/>
        <c:scaling>
          <c:orientation val="minMax"/>
        </c:scaling>
        <c:axPos val="l"/>
        <c:majorGridlines/>
        <c:numFmt formatCode="General" sourceLinked="1"/>
        <c:tickLblPos val="nextTo"/>
        <c:crossAx val="157053696"/>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'výpočet PT'!$P$111:$P$131</c:f>
              <c:numCache>
                <c:formatCode>General</c:formatCode>
                <c:ptCount val="21"/>
                <c:pt idx="0">
                  <c:v>78.5</c:v>
                </c:pt>
                <c:pt idx="1">
                  <c:v>176.625</c:v>
                </c:pt>
                <c:pt idx="2">
                  <c:v>314</c:v>
                </c:pt>
                <c:pt idx="3">
                  <c:v>490.625</c:v>
                </c:pt>
                <c:pt idx="4">
                  <c:v>803.84</c:v>
                </c:pt>
                <c:pt idx="5">
                  <c:v>1256</c:v>
                </c:pt>
                <c:pt idx="6">
                  <c:v>1962.5</c:v>
                </c:pt>
                <c:pt idx="7">
                  <c:v>3316.625</c:v>
                </c:pt>
                <c:pt idx="8">
                  <c:v>5024</c:v>
                </c:pt>
                <c:pt idx="9">
                  <c:v>7850</c:v>
                </c:pt>
                <c:pt idx="11">
                  <c:v>78.5</c:v>
                </c:pt>
                <c:pt idx="12">
                  <c:v>176.625</c:v>
                </c:pt>
                <c:pt idx="13">
                  <c:v>314</c:v>
                </c:pt>
                <c:pt idx="14">
                  <c:v>490.625</c:v>
                </c:pt>
                <c:pt idx="15">
                  <c:v>803.84</c:v>
                </c:pt>
                <c:pt idx="16">
                  <c:v>1256</c:v>
                </c:pt>
                <c:pt idx="17">
                  <c:v>1962.5</c:v>
                </c:pt>
                <c:pt idx="18">
                  <c:v>3316.625</c:v>
                </c:pt>
                <c:pt idx="19">
                  <c:v>5024</c:v>
                </c:pt>
                <c:pt idx="20">
                  <c:v>7850</c:v>
                </c:pt>
              </c:numCache>
            </c:numRef>
          </c:xVal>
          <c:yVal>
            <c:numRef>
              <c:f>'výpočet PT'!$Q$111:$Q$131</c:f>
              <c:numCache>
                <c:formatCode>General</c:formatCode>
                <c:ptCount val="21"/>
                <c:pt idx="0">
                  <c:v>3.9249999999999998</c:v>
                </c:pt>
                <c:pt idx="1">
                  <c:v>8.8312500000000007</c:v>
                </c:pt>
                <c:pt idx="2">
                  <c:v>15.7</c:v>
                </c:pt>
                <c:pt idx="3">
                  <c:v>24.53125</c:v>
                </c:pt>
                <c:pt idx="4">
                  <c:v>40.192</c:v>
                </c:pt>
                <c:pt idx="5">
                  <c:v>62.8</c:v>
                </c:pt>
                <c:pt idx="6">
                  <c:v>98.125</c:v>
                </c:pt>
                <c:pt idx="7">
                  <c:v>165.83125000000001</c:v>
                </c:pt>
                <c:pt idx="8">
                  <c:v>251.2</c:v>
                </c:pt>
                <c:pt idx="9">
                  <c:v>392.5</c:v>
                </c:pt>
                <c:pt idx="11">
                  <c:v>3.9249999999999998</c:v>
                </c:pt>
                <c:pt idx="12">
                  <c:v>8.8312500000000007</c:v>
                </c:pt>
                <c:pt idx="13">
                  <c:v>15.7</c:v>
                </c:pt>
                <c:pt idx="14">
                  <c:v>24.53125</c:v>
                </c:pt>
                <c:pt idx="15">
                  <c:v>40.192</c:v>
                </c:pt>
                <c:pt idx="16">
                  <c:v>62.8</c:v>
                </c:pt>
                <c:pt idx="17">
                  <c:v>98.125</c:v>
                </c:pt>
                <c:pt idx="18">
                  <c:v>165.83125000000001</c:v>
                </c:pt>
                <c:pt idx="19">
                  <c:v>251.2</c:v>
                </c:pt>
                <c:pt idx="20">
                  <c:v>392.5</c:v>
                </c:pt>
              </c:numCache>
            </c:numRef>
          </c:yVal>
          <c:extLst xmlns:c16r2="http://schemas.microsoft.com/office/drawing/2015/06/chart">
            <c:ext xmlns:c16="http://schemas.microsoft.com/office/drawing/2014/chart" uri="{C3380CC4-5D6E-409C-BE32-E72D297353CC}">
              <c16:uniqueId val="{00000000-0574-4B64-B601-FCC942F9045E}"/>
            </c:ext>
          </c:extLst>
        </c:ser>
        <c:ser>
          <c:idx val="1"/>
          <c:order val="1"/>
          <c:marker>
            <c:symbol val="none"/>
          </c:marker>
          <c:xVal>
            <c:numRef>
              <c:f>'výpočet PT'!$P$111:$P$131</c:f>
              <c:numCache>
                <c:formatCode>General</c:formatCode>
                <c:ptCount val="21"/>
                <c:pt idx="0">
                  <c:v>78.5</c:v>
                </c:pt>
                <c:pt idx="1">
                  <c:v>176.625</c:v>
                </c:pt>
                <c:pt idx="2">
                  <c:v>314</c:v>
                </c:pt>
                <c:pt idx="3">
                  <c:v>490.625</c:v>
                </c:pt>
                <c:pt idx="4">
                  <c:v>803.84</c:v>
                </c:pt>
                <c:pt idx="5">
                  <c:v>1256</c:v>
                </c:pt>
                <c:pt idx="6">
                  <c:v>1962.5</c:v>
                </c:pt>
                <c:pt idx="7">
                  <c:v>3316.625</c:v>
                </c:pt>
                <c:pt idx="8">
                  <c:v>5024</c:v>
                </c:pt>
                <c:pt idx="9">
                  <c:v>7850</c:v>
                </c:pt>
                <c:pt idx="11">
                  <c:v>78.5</c:v>
                </c:pt>
                <c:pt idx="12">
                  <c:v>176.625</c:v>
                </c:pt>
                <c:pt idx="13">
                  <c:v>314</c:v>
                </c:pt>
                <c:pt idx="14">
                  <c:v>490.625</c:v>
                </c:pt>
                <c:pt idx="15">
                  <c:v>803.84</c:v>
                </c:pt>
                <c:pt idx="16">
                  <c:v>1256</c:v>
                </c:pt>
                <c:pt idx="17">
                  <c:v>1962.5</c:v>
                </c:pt>
                <c:pt idx="18">
                  <c:v>3316.625</c:v>
                </c:pt>
                <c:pt idx="19">
                  <c:v>5024</c:v>
                </c:pt>
                <c:pt idx="20">
                  <c:v>7850</c:v>
                </c:pt>
              </c:numCache>
            </c:numRef>
          </c:xVal>
          <c:yVal>
            <c:numRef>
              <c:f>'výpočet PT'!$R$111:$R$131</c:f>
              <c:numCache>
                <c:formatCode>General</c:formatCode>
                <c:ptCount val="21"/>
                <c:pt idx="0">
                  <c:v>3.2</c:v>
                </c:pt>
                <c:pt idx="1">
                  <c:v>4.3999999999999995</c:v>
                </c:pt>
                <c:pt idx="2">
                  <c:v>7.0000000000000009</c:v>
                </c:pt>
                <c:pt idx="3">
                  <c:v>12</c:v>
                </c:pt>
                <c:pt idx="4">
                  <c:v>17</c:v>
                </c:pt>
                <c:pt idx="5">
                  <c:v>22</c:v>
                </c:pt>
                <c:pt idx="6">
                  <c:v>33</c:v>
                </c:pt>
                <c:pt idx="7">
                  <c:v>56.999999999999993</c:v>
                </c:pt>
                <c:pt idx="8">
                  <c:v>77</c:v>
                </c:pt>
                <c:pt idx="9">
                  <c:v>96</c:v>
                </c:pt>
                <c:pt idx="11">
                  <c:v>3.3</c:v>
                </c:pt>
                <c:pt idx="12">
                  <c:v>4.5</c:v>
                </c:pt>
                <c:pt idx="13">
                  <c:v>7.5</c:v>
                </c:pt>
                <c:pt idx="14">
                  <c:v>11.999999999999998</c:v>
                </c:pt>
                <c:pt idx="15">
                  <c:v>17</c:v>
                </c:pt>
                <c:pt idx="16">
                  <c:v>23.999999999999996</c:v>
                </c:pt>
                <c:pt idx="17">
                  <c:v>34</c:v>
                </c:pt>
                <c:pt idx="18">
                  <c:v>57.975090436420281</c:v>
                </c:pt>
                <c:pt idx="19">
                  <c:v>77.781745930520231</c:v>
                </c:pt>
                <c:pt idx="20">
                  <c:v>95.74271077563381</c:v>
                </c:pt>
              </c:numCache>
            </c:numRef>
          </c:yVal>
          <c:extLst xmlns:c16r2="http://schemas.microsoft.com/office/drawing/2015/06/chart">
            <c:ext xmlns:c16="http://schemas.microsoft.com/office/drawing/2014/chart" uri="{C3380CC4-5D6E-409C-BE32-E72D297353CC}">
              <c16:uniqueId val="{00000001-0574-4B64-B601-FCC942F9045E}"/>
            </c:ext>
          </c:extLst>
        </c:ser>
        <c:axId val="157085056"/>
        <c:axId val="157090944"/>
      </c:scatterChart>
      <c:valAx>
        <c:axId val="157085056"/>
        <c:scaling>
          <c:orientation val="minMax"/>
        </c:scaling>
        <c:axPos val="b"/>
        <c:numFmt formatCode="General" sourceLinked="1"/>
        <c:tickLblPos val="nextTo"/>
        <c:crossAx val="157090944"/>
        <c:crosses val="autoZero"/>
        <c:crossBetween val="midCat"/>
      </c:valAx>
      <c:valAx>
        <c:axId val="157090944"/>
        <c:scaling>
          <c:orientation val="minMax"/>
        </c:scaling>
        <c:axPos val="l"/>
        <c:majorGridlines/>
        <c:numFmt formatCode="General" sourceLinked="1"/>
        <c:tickLblPos val="nextTo"/>
        <c:crossAx val="157085056"/>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'výpočet PT'!$W$130:$W$138</c:f>
              <c:numCache>
                <c:formatCode>General</c:formatCode>
                <c:ptCount val="9"/>
                <c:pt idx="0">
                  <c:v>1</c:v>
                </c:pt>
                <c:pt idx="1">
                  <c:v>2</c:v>
                </c:pt>
                <c:pt idx="2">
                  <c:v>3</c:v>
                </c:pt>
                <c:pt idx="3">
                  <c:v>4</c:v>
                </c:pt>
                <c:pt idx="4">
                  <c:v>5</c:v>
                </c:pt>
                <c:pt idx="5">
                  <c:v>6</c:v>
                </c:pt>
                <c:pt idx="6">
                  <c:v>7</c:v>
                </c:pt>
                <c:pt idx="7">
                  <c:v>8</c:v>
                </c:pt>
                <c:pt idx="8">
                  <c:v>9</c:v>
                </c:pt>
              </c:numCache>
            </c:numRef>
          </c:xVal>
          <c:yVal>
            <c:numRef>
              <c:f>'výpočet PT'!$Z$130:$Z$138</c:f>
              <c:numCache>
                <c:formatCode>General</c:formatCode>
                <c:ptCount val="9"/>
                <c:pt idx="2">
                  <c:v>0.94280904158206325</c:v>
                </c:pt>
                <c:pt idx="3">
                  <c:v>0.89442719099991586</c:v>
                </c:pt>
                <c:pt idx="4">
                  <c:v>0.85280286542244166</c:v>
                </c:pt>
                <c:pt idx="5">
                  <c:v>0.81649658092772603</c:v>
                </c:pt>
                <c:pt idx="6">
                  <c:v>0.78446454055273629</c:v>
                </c:pt>
                <c:pt idx="7">
                  <c:v>0.75592894601845462</c:v>
                </c:pt>
                <c:pt idx="8">
                  <c:v>0.73029674334022154</c:v>
                </c:pt>
              </c:numCache>
            </c:numRef>
          </c:yVal>
          <c:extLst xmlns:c16r2="http://schemas.microsoft.com/office/drawing/2015/06/chart">
            <c:ext xmlns:c16="http://schemas.microsoft.com/office/drawing/2014/chart" uri="{C3380CC4-5D6E-409C-BE32-E72D297353CC}">
              <c16:uniqueId val="{00000000-1FE2-4B6E-99FA-1AE63AF23FEA}"/>
            </c:ext>
          </c:extLst>
        </c:ser>
        <c:axId val="157096192"/>
        <c:axId val="157110272"/>
      </c:scatterChart>
      <c:valAx>
        <c:axId val="157096192"/>
        <c:scaling>
          <c:orientation val="minMax"/>
        </c:scaling>
        <c:axPos val="b"/>
        <c:numFmt formatCode="General" sourceLinked="1"/>
        <c:tickLblPos val="nextTo"/>
        <c:crossAx val="157110272"/>
        <c:crosses val="autoZero"/>
        <c:crossBetween val="midCat"/>
      </c:valAx>
      <c:valAx>
        <c:axId val="157110272"/>
        <c:scaling>
          <c:orientation val="minMax"/>
        </c:scaling>
        <c:axPos val="l"/>
        <c:majorGridlines/>
        <c:numFmt formatCode="General" sourceLinked="1"/>
        <c:tickLblPos val="nextTo"/>
        <c:crossAx val="15709619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PT'!$B$344</c:f>
              <c:strCache>
                <c:ptCount val="1"/>
                <c:pt idx="0">
                  <c:v>10 mm</c:v>
                </c:pt>
              </c:strCache>
            </c:strRef>
          </c:tx>
          <c:xVal>
            <c:numRef>
              <c:f>'výpočet PT'!$G$338:$M$338</c:f>
              <c:numCache>
                <c:formatCode>General</c:formatCode>
                <c:ptCount val="7"/>
                <c:pt idx="0">
                  <c:v>200</c:v>
                </c:pt>
                <c:pt idx="1">
                  <c:v>133.33333333333334</c:v>
                </c:pt>
                <c:pt idx="2">
                  <c:v>100</c:v>
                </c:pt>
                <c:pt idx="3">
                  <c:v>66.666666666666671</c:v>
                </c:pt>
                <c:pt idx="4">
                  <c:v>50</c:v>
                </c:pt>
                <c:pt idx="5">
                  <c:v>40</c:v>
                </c:pt>
                <c:pt idx="6">
                  <c:v>33.333333333333336</c:v>
                </c:pt>
              </c:numCache>
            </c:numRef>
          </c:xVal>
          <c:yVal>
            <c:numRef>
              <c:f>'výpočet PT'!$G$344:$M$344</c:f>
              <c:numCache>
                <c:formatCode>General</c:formatCode>
                <c:ptCount val="7"/>
                <c:pt idx="0">
                  <c:v>0.87345929395994126</c:v>
                </c:pt>
                <c:pt idx="1">
                  <c:v>0.9590424385668016</c:v>
                </c:pt>
                <c:pt idx="2">
                  <c:v>1.0447742410226568</c:v>
                </c:pt>
                <c:pt idx="3">
                  <c:v>1.1131990652915085</c:v>
                </c:pt>
                <c:pt idx="4">
                  <c:v>1.1289809915882465</c:v>
                </c:pt>
                <c:pt idx="5">
                  <c:v>1.1267963128502116</c:v>
                </c:pt>
                <c:pt idx="6">
                  <c:v>1.1190566665905979</c:v>
                </c:pt>
              </c:numCache>
            </c:numRef>
          </c:yVal>
          <c:extLst xmlns:c16r2="http://schemas.microsoft.com/office/drawing/2015/06/chart">
            <c:ext xmlns:c16="http://schemas.microsoft.com/office/drawing/2014/chart" uri="{C3380CC4-5D6E-409C-BE32-E72D297353CC}">
              <c16:uniqueId val="{00000000-C588-49DF-8F02-FE2633FA4DEF}"/>
            </c:ext>
          </c:extLst>
        </c:ser>
        <c:ser>
          <c:idx val="1"/>
          <c:order val="1"/>
          <c:tx>
            <c:strRef>
              <c:f>'výpočet PT'!$B$345</c:f>
              <c:strCache>
                <c:ptCount val="1"/>
                <c:pt idx="0">
                  <c:v>12 mm</c:v>
                </c:pt>
              </c:strCache>
            </c:strRef>
          </c:tx>
          <c:xVal>
            <c:numRef>
              <c:f>'výpočet PT'!$G$338:$M$338</c:f>
              <c:numCache>
                <c:formatCode>General</c:formatCode>
                <c:ptCount val="7"/>
                <c:pt idx="0">
                  <c:v>200</c:v>
                </c:pt>
                <c:pt idx="1">
                  <c:v>133.33333333333334</c:v>
                </c:pt>
                <c:pt idx="2">
                  <c:v>100</c:v>
                </c:pt>
                <c:pt idx="3">
                  <c:v>66.666666666666671</c:v>
                </c:pt>
                <c:pt idx="4">
                  <c:v>50</c:v>
                </c:pt>
                <c:pt idx="5">
                  <c:v>40</c:v>
                </c:pt>
                <c:pt idx="6">
                  <c:v>33.333333333333336</c:v>
                </c:pt>
              </c:numCache>
            </c:numRef>
          </c:xVal>
          <c:yVal>
            <c:numRef>
              <c:f>'výpočet PT'!$G$345:$M$345</c:f>
              <c:numCache>
                <c:formatCode>General</c:formatCode>
                <c:ptCount val="7"/>
                <c:pt idx="0">
                  <c:v>0.93856134221084475</c:v>
                </c:pt>
                <c:pt idx="1">
                  <c:v>1.0139670970747812</c:v>
                </c:pt>
                <c:pt idx="2">
                  <c:v>1.1246693458571131</c:v>
                </c:pt>
                <c:pt idx="3">
                  <c:v>1.1614624588658742</c:v>
                </c:pt>
                <c:pt idx="4">
                  <c:v>1.1585845585827681</c:v>
                </c:pt>
                <c:pt idx="5">
                  <c:v>1.1458828841472184</c:v>
                </c:pt>
                <c:pt idx="6">
                  <c:v>1.1319996717972469</c:v>
                </c:pt>
              </c:numCache>
            </c:numRef>
          </c:yVal>
          <c:extLst xmlns:c16r2="http://schemas.microsoft.com/office/drawing/2015/06/chart">
            <c:ext xmlns:c16="http://schemas.microsoft.com/office/drawing/2014/chart" uri="{C3380CC4-5D6E-409C-BE32-E72D297353CC}">
              <c16:uniqueId val="{00000001-C588-49DF-8F02-FE2633FA4DEF}"/>
            </c:ext>
          </c:extLst>
        </c:ser>
        <c:ser>
          <c:idx val="2"/>
          <c:order val="2"/>
          <c:tx>
            <c:strRef>
              <c:f>'výpočet PT'!$B$346</c:f>
              <c:strCache>
                <c:ptCount val="1"/>
                <c:pt idx="0">
                  <c:v>14 mm</c:v>
                </c:pt>
              </c:strCache>
            </c:strRef>
          </c:tx>
          <c:xVal>
            <c:numRef>
              <c:f>'výpočet PT'!$G$338:$M$338</c:f>
              <c:numCache>
                <c:formatCode>General</c:formatCode>
                <c:ptCount val="7"/>
                <c:pt idx="0">
                  <c:v>200</c:v>
                </c:pt>
                <c:pt idx="1">
                  <c:v>133.33333333333334</c:v>
                </c:pt>
                <c:pt idx="2">
                  <c:v>100</c:v>
                </c:pt>
                <c:pt idx="3">
                  <c:v>66.666666666666671</c:v>
                </c:pt>
                <c:pt idx="4">
                  <c:v>50</c:v>
                </c:pt>
                <c:pt idx="5">
                  <c:v>40</c:v>
                </c:pt>
                <c:pt idx="6">
                  <c:v>33.333333333333336</c:v>
                </c:pt>
              </c:numCache>
            </c:numRef>
          </c:xVal>
          <c:yVal>
            <c:numRef>
              <c:f>'výpočet PT'!$G$346:$M$346</c:f>
              <c:numCache>
                <c:formatCode>General</c:formatCode>
                <c:ptCount val="7"/>
                <c:pt idx="0">
                  <c:v>0.99005028903566594</c:v>
                </c:pt>
                <c:pt idx="1">
                  <c:v>1.0521518950831792</c:v>
                </c:pt>
                <c:pt idx="2">
                  <c:v>1.1766581933180877</c:v>
                </c:pt>
                <c:pt idx="3">
                  <c:v>1.1904372242006023</c:v>
                </c:pt>
                <c:pt idx="4">
                  <c:v>1.1756684462869764</c:v>
                </c:pt>
                <c:pt idx="5">
                  <c:v>1.1566599702115321</c:v>
                </c:pt>
                <c:pt idx="6">
                  <c:v>1.1392120659456011</c:v>
                </c:pt>
              </c:numCache>
            </c:numRef>
          </c:yVal>
          <c:extLst xmlns:c16r2="http://schemas.microsoft.com/office/drawing/2015/06/chart">
            <c:ext xmlns:c16="http://schemas.microsoft.com/office/drawing/2014/chart" uri="{C3380CC4-5D6E-409C-BE32-E72D297353CC}">
              <c16:uniqueId val="{00000002-C588-49DF-8F02-FE2633FA4DEF}"/>
            </c:ext>
          </c:extLst>
        </c:ser>
        <c:axId val="157151616"/>
        <c:axId val="157153152"/>
      </c:scatterChart>
      <c:valAx>
        <c:axId val="157151616"/>
        <c:scaling>
          <c:orientation val="minMax"/>
        </c:scaling>
        <c:axPos val="b"/>
        <c:majorGridlines/>
        <c:minorGridlines/>
        <c:numFmt formatCode="General" sourceLinked="1"/>
        <c:tickLblPos val="nextTo"/>
        <c:crossAx val="157153152"/>
        <c:crosses val="autoZero"/>
        <c:crossBetween val="midCat"/>
      </c:valAx>
      <c:valAx>
        <c:axId val="157153152"/>
        <c:scaling>
          <c:orientation val="minMax"/>
          <c:max val="1.2"/>
          <c:min val="1"/>
        </c:scaling>
        <c:axPos val="l"/>
        <c:majorGridlines/>
        <c:numFmt formatCode="General" sourceLinked="1"/>
        <c:tickLblPos val="nextTo"/>
        <c:crossAx val="15715161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'výpočet PT'!$AN$70</c:f>
              <c:strCache>
                <c:ptCount val="1"/>
                <c:pt idx="0">
                  <c:v>Kč/rok EE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'výpočet PT'!$AJ$71:$AJ$79</c:f>
              <c:numCache>
                <c:formatCode>General</c:formatCode>
                <c:ptCount val="9"/>
                <c:pt idx="0">
                  <c:v>6</c:v>
                </c:pt>
                <c:pt idx="1">
                  <c:v>12</c:v>
                </c:pt>
                <c:pt idx="2">
                  <c:v>24</c:v>
                </c:pt>
                <c:pt idx="3">
                  <c:v>48</c:v>
                </c:pt>
                <c:pt idx="4">
                  <c:v>96</c:v>
                </c:pt>
                <c:pt idx="6">
                  <c:v>42</c:v>
                </c:pt>
                <c:pt idx="7">
                  <c:v>50</c:v>
                </c:pt>
                <c:pt idx="8">
                  <c:v>60</c:v>
                </c:pt>
              </c:numCache>
            </c:numRef>
          </c:xVal>
          <c:yVal>
            <c:numRef>
              <c:f>'výpočet PT'!$AN$71:$AN$79</c:f>
              <c:numCache>
                <c:formatCode>General</c:formatCode>
                <c:ptCount val="9"/>
                <c:pt idx="0">
                  <c:v>18163.765211530299</c:v>
                </c:pt>
                <c:pt idx="1">
                  <c:v>12185.217955057924</c:v>
                </c:pt>
                <c:pt idx="2">
                  <c:v>9014.6043867515164</c:v>
                </c:pt>
                <c:pt idx="3">
                  <c:v>7829.3121003339165</c:v>
                </c:pt>
                <c:pt idx="4">
                  <c:v>7335.4589379961772</c:v>
                </c:pt>
                <c:pt idx="6">
                  <c:v>8118.6216704863136</c:v>
                </c:pt>
                <c:pt idx="7">
                  <c:v>7796.4116333360216</c:v>
                </c:pt>
                <c:pt idx="8">
                  <c:v>7689.486064579216</c:v>
                </c:pt>
              </c:numCache>
            </c:numRef>
          </c:yVal>
          <c:extLst xmlns:c16r2="http://schemas.microsoft.com/office/drawing/2015/06/chart">
            <c:ext xmlns:c16="http://schemas.microsoft.com/office/drawing/2014/chart" uri="{C3380CC4-5D6E-409C-BE32-E72D297353CC}">
              <c16:uniqueId val="{00000000-D415-4503-B4D7-6D323D188010}"/>
            </c:ext>
          </c:extLst>
        </c:ser>
        <c:ser>
          <c:idx val="1"/>
          <c:order val="1"/>
          <c:tx>
            <c:strRef>
              <c:f>'výpočet PT'!$AO$70</c:f>
              <c:strCache>
                <c:ptCount val="1"/>
                <c:pt idx="0">
                  <c:v>Kč/rok amort</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'výpočet PT'!$AJ$71:$AJ$79</c:f>
              <c:numCache>
                <c:formatCode>General</c:formatCode>
                <c:ptCount val="9"/>
                <c:pt idx="0">
                  <c:v>6</c:v>
                </c:pt>
                <c:pt idx="1">
                  <c:v>12</c:v>
                </c:pt>
                <c:pt idx="2">
                  <c:v>24</c:v>
                </c:pt>
                <c:pt idx="3">
                  <c:v>48</c:v>
                </c:pt>
                <c:pt idx="4">
                  <c:v>96</c:v>
                </c:pt>
                <c:pt idx="6">
                  <c:v>42</c:v>
                </c:pt>
                <c:pt idx="7">
                  <c:v>50</c:v>
                </c:pt>
                <c:pt idx="8">
                  <c:v>60</c:v>
                </c:pt>
              </c:numCache>
            </c:numRef>
          </c:xVal>
          <c:yVal>
            <c:numRef>
              <c:f>'výpočet PT'!$AO$71:$AO$79</c:f>
              <c:numCache>
                <c:formatCode>General</c:formatCode>
                <c:ptCount val="9"/>
                <c:pt idx="0">
                  <c:v>300</c:v>
                </c:pt>
                <c:pt idx="1">
                  <c:v>600</c:v>
                </c:pt>
                <c:pt idx="2">
                  <c:v>1200</c:v>
                </c:pt>
                <c:pt idx="3">
                  <c:v>2400</c:v>
                </c:pt>
                <c:pt idx="4">
                  <c:v>4800</c:v>
                </c:pt>
                <c:pt idx="6">
                  <c:v>1044</c:v>
                </c:pt>
                <c:pt idx="7">
                  <c:v>1484</c:v>
                </c:pt>
                <c:pt idx="8">
                  <c:v>2364</c:v>
                </c:pt>
              </c:numCache>
            </c:numRef>
          </c:yVal>
          <c:extLst xmlns:c16r2="http://schemas.microsoft.com/office/drawing/2015/06/chart">
            <c:ext xmlns:c16="http://schemas.microsoft.com/office/drawing/2014/chart" uri="{C3380CC4-5D6E-409C-BE32-E72D297353CC}">
              <c16:uniqueId val="{00000001-E37A-47D4-975A-7B67F0D2835D}"/>
            </c:ext>
          </c:extLst>
        </c:ser>
        <c:ser>
          <c:idx val="2"/>
          <c:order val="2"/>
          <c:tx>
            <c:strRef>
              <c:f>'výpočet PT'!$AP$70</c:f>
              <c:strCache>
                <c:ptCount val="1"/>
                <c:pt idx="0">
                  <c:v>součet</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'výpočet PT'!$AJ$71:$AJ$79</c:f>
              <c:numCache>
                <c:formatCode>General</c:formatCode>
                <c:ptCount val="9"/>
                <c:pt idx="0">
                  <c:v>6</c:v>
                </c:pt>
                <c:pt idx="1">
                  <c:v>12</c:v>
                </c:pt>
                <c:pt idx="2">
                  <c:v>24</c:v>
                </c:pt>
                <c:pt idx="3">
                  <c:v>48</c:v>
                </c:pt>
                <c:pt idx="4">
                  <c:v>96</c:v>
                </c:pt>
                <c:pt idx="6">
                  <c:v>42</c:v>
                </c:pt>
                <c:pt idx="7">
                  <c:v>50</c:v>
                </c:pt>
                <c:pt idx="8">
                  <c:v>60</c:v>
                </c:pt>
              </c:numCache>
            </c:numRef>
          </c:xVal>
          <c:yVal>
            <c:numRef>
              <c:f>'výpočet PT'!$AP$71:$AP$79</c:f>
              <c:numCache>
                <c:formatCode>General</c:formatCode>
                <c:ptCount val="9"/>
                <c:pt idx="0">
                  <c:v>18463.765211530299</c:v>
                </c:pt>
                <c:pt idx="1">
                  <c:v>12785.217955057924</c:v>
                </c:pt>
                <c:pt idx="2">
                  <c:v>10214.604386751516</c:v>
                </c:pt>
                <c:pt idx="3">
                  <c:v>10229.312100333917</c:v>
                </c:pt>
                <c:pt idx="4">
                  <c:v>12135.458937996176</c:v>
                </c:pt>
                <c:pt idx="6">
                  <c:v>9162.6216704863145</c:v>
                </c:pt>
                <c:pt idx="7">
                  <c:v>9280.4116333360216</c:v>
                </c:pt>
                <c:pt idx="8">
                  <c:v>10053.486064579216</c:v>
                </c:pt>
              </c:numCache>
            </c:numRef>
          </c:yVal>
          <c:extLst xmlns:c16r2="http://schemas.microsoft.com/office/drawing/2015/06/chart">
            <c:ext xmlns:c16="http://schemas.microsoft.com/office/drawing/2014/chart" uri="{C3380CC4-5D6E-409C-BE32-E72D297353CC}">
              <c16:uniqueId val="{00000002-E37A-47D4-975A-7B67F0D2835D}"/>
            </c:ext>
          </c:extLst>
        </c:ser>
        <c:axId val="157203840"/>
        <c:axId val="157308416"/>
      </c:scatterChart>
      <c:valAx>
        <c:axId val="15720384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7308416"/>
        <c:crosses val="autoZero"/>
        <c:crossBetween val="midCat"/>
      </c:valAx>
      <c:valAx>
        <c:axId val="15730841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7203840"/>
        <c:crosses val="autoZero"/>
        <c:crossBetween val="midCat"/>
      </c:valAx>
      <c:spPr>
        <a:noFill/>
        <a:ln>
          <a:noFill/>
        </a:ln>
        <a:effectLst/>
      </c:spPr>
    </c:plotArea>
    <c:plotVisOnly val="1"/>
    <c:dispBlanksAs val="gap"/>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'10 těles'!$AZ$8:$AZ$15</c:f>
              <c:numCache>
                <c:formatCode>General</c:formatCode>
                <c:ptCount val="8"/>
                <c:pt idx="0">
                  <c:v>1</c:v>
                </c:pt>
                <c:pt idx="1">
                  <c:v>2</c:v>
                </c:pt>
                <c:pt idx="2">
                  <c:v>3</c:v>
                </c:pt>
                <c:pt idx="3">
                  <c:v>4</c:v>
                </c:pt>
                <c:pt idx="4">
                  <c:v>5</c:v>
                </c:pt>
                <c:pt idx="5">
                  <c:v>6</c:v>
                </c:pt>
                <c:pt idx="6">
                  <c:v>7</c:v>
                </c:pt>
                <c:pt idx="7">
                  <c:v>8</c:v>
                </c:pt>
              </c:numCache>
            </c:numRef>
          </c:xVal>
          <c:yVal>
            <c:numRef>
              <c:f>'10 těles'!$BC$8:$BC$15</c:f>
              <c:numCache>
                <c:formatCode>General</c:formatCode>
                <c:ptCount val="8"/>
                <c:pt idx="0">
                  <c:v>0.90545821005826799</c:v>
                </c:pt>
                <c:pt idx="1">
                  <c:v>1.8736587642850884</c:v>
                </c:pt>
                <c:pt idx="2">
                  <c:v>3.0038663953204803</c:v>
                </c:pt>
                <c:pt idx="3">
                  <c:v>3.9325149348227115</c:v>
                </c:pt>
                <c:pt idx="4">
                  <c:v>5.0867758032910384</c:v>
                </c:pt>
                <c:pt idx="5">
                  <c:v>6.3272239697941588</c:v>
                </c:pt>
                <c:pt idx="6">
                  <c:v>7.10415632632039</c:v>
                </c:pt>
                <c:pt idx="7">
                  <c:v>7.7856988793216688</c:v>
                </c:pt>
              </c:numCache>
            </c:numRef>
          </c:yVal>
          <c:extLst xmlns:c16r2="http://schemas.microsoft.com/office/drawing/2015/06/chart">
            <c:ext xmlns:c16="http://schemas.microsoft.com/office/drawing/2014/chart" uri="{C3380CC4-5D6E-409C-BE32-E72D297353CC}">
              <c16:uniqueId val="{00000000-40D2-41B1-86B7-4BBC0C2F6B0E}"/>
            </c:ext>
          </c:extLst>
        </c:ser>
        <c:ser>
          <c:idx val="1"/>
          <c:order val="1"/>
          <c:xVal>
            <c:numRef>
              <c:f>'10 těles'!$AZ$8:$AZ$15</c:f>
              <c:numCache>
                <c:formatCode>General</c:formatCode>
                <c:ptCount val="8"/>
                <c:pt idx="0">
                  <c:v>1</c:v>
                </c:pt>
                <c:pt idx="1">
                  <c:v>2</c:v>
                </c:pt>
                <c:pt idx="2">
                  <c:v>3</c:v>
                </c:pt>
                <c:pt idx="3">
                  <c:v>4</c:v>
                </c:pt>
                <c:pt idx="4">
                  <c:v>5</c:v>
                </c:pt>
                <c:pt idx="5">
                  <c:v>6</c:v>
                </c:pt>
                <c:pt idx="6">
                  <c:v>7</c:v>
                </c:pt>
                <c:pt idx="7">
                  <c:v>8</c:v>
                </c:pt>
              </c:numCache>
            </c:numRef>
          </c:xVal>
          <c:yVal>
            <c:numRef>
              <c:f>'10 těles'!$BD$8:$BD$15</c:f>
              <c:numCache>
                <c:formatCode>General</c:formatCode>
                <c:ptCount val="8"/>
                <c:pt idx="0">
                  <c:v>0.90093282628657079</c:v>
                </c:pt>
                <c:pt idx="1">
                  <c:v>2.155429416076986</c:v>
                </c:pt>
                <c:pt idx="2">
                  <c:v>2.9918999999999998</c:v>
                </c:pt>
                <c:pt idx="3">
                  <c:v>3.994319949409598</c:v>
                </c:pt>
                <c:pt idx="4">
                  <c:v>5.2347681159127184</c:v>
                </c:pt>
                <c:pt idx="5">
                  <c:v>6.248288065322317</c:v>
                </c:pt>
                <c:pt idx="6">
                  <c:v>7.1052069725941669</c:v>
                </c:pt>
                <c:pt idx="7">
                  <c:v>7.8475038939085557</c:v>
                </c:pt>
              </c:numCache>
            </c:numRef>
          </c:yVal>
          <c:extLst xmlns:c16r2="http://schemas.microsoft.com/office/drawing/2015/06/chart">
            <c:ext xmlns:c16="http://schemas.microsoft.com/office/drawing/2014/chart" uri="{C3380CC4-5D6E-409C-BE32-E72D297353CC}">
              <c16:uniqueId val="{00000001-40D2-41B1-86B7-4BBC0C2F6B0E}"/>
            </c:ext>
          </c:extLst>
        </c:ser>
        <c:ser>
          <c:idx val="2"/>
          <c:order val="2"/>
          <c:xVal>
            <c:numRef>
              <c:f>'10 těles'!$AZ$8:$AZ$15</c:f>
              <c:numCache>
                <c:formatCode>General</c:formatCode>
                <c:ptCount val="8"/>
                <c:pt idx="0">
                  <c:v>1</c:v>
                </c:pt>
                <c:pt idx="1">
                  <c:v>2</c:v>
                </c:pt>
                <c:pt idx="2">
                  <c:v>3</c:v>
                </c:pt>
                <c:pt idx="3">
                  <c:v>4</c:v>
                </c:pt>
                <c:pt idx="4">
                  <c:v>5</c:v>
                </c:pt>
                <c:pt idx="5">
                  <c:v>6</c:v>
                </c:pt>
                <c:pt idx="6">
                  <c:v>7</c:v>
                </c:pt>
                <c:pt idx="7">
                  <c:v>8</c:v>
                </c:pt>
              </c:numCache>
            </c:numRef>
          </c:xVal>
          <c:yVal>
            <c:numRef>
              <c:f>'10 těles'!$BE$8:$BE$15</c:f>
              <c:numCache>
                <c:formatCode>General</c:formatCode>
                <c:ptCount val="8"/>
                <c:pt idx="0">
                  <c:v>0.900467695339918</c:v>
                </c:pt>
                <c:pt idx="1">
                  <c:v>2.1312513409140852</c:v>
                </c:pt>
                <c:pt idx="2">
                  <c:v>2.9480967876995896</c:v>
                </c:pt>
                <c:pt idx="3">
                  <c:v>4.0516309423883259</c:v>
                </c:pt>
                <c:pt idx="4">
                  <c:v>5.1309382793487863</c:v>
                </c:pt>
                <c:pt idx="5">
                  <c:v>6.2166536508728516</c:v>
                </c:pt>
                <c:pt idx="6">
                  <c:v>7.0478959796154355</c:v>
                </c:pt>
                <c:pt idx="7">
                  <c:v>7.7708573358067756</c:v>
                </c:pt>
              </c:numCache>
            </c:numRef>
          </c:yVal>
          <c:extLst xmlns:c16r2="http://schemas.microsoft.com/office/drawing/2015/06/chart">
            <c:ext xmlns:c16="http://schemas.microsoft.com/office/drawing/2014/chart" uri="{C3380CC4-5D6E-409C-BE32-E72D297353CC}">
              <c16:uniqueId val="{00000002-40D2-41B1-86B7-4BBC0C2F6B0E}"/>
            </c:ext>
          </c:extLst>
        </c:ser>
        <c:axId val="150974464"/>
        <c:axId val="150976000"/>
      </c:scatterChart>
      <c:valAx>
        <c:axId val="150974464"/>
        <c:scaling>
          <c:orientation val="minMax"/>
        </c:scaling>
        <c:axPos val="b"/>
        <c:numFmt formatCode="General" sourceLinked="1"/>
        <c:tickLblPos val="nextTo"/>
        <c:crossAx val="150976000"/>
        <c:crosses val="autoZero"/>
        <c:crossBetween val="midCat"/>
      </c:valAx>
      <c:valAx>
        <c:axId val="150976000"/>
        <c:scaling>
          <c:orientation val="minMax"/>
        </c:scaling>
        <c:axPos val="l"/>
        <c:majorGridlines/>
        <c:numFmt formatCode="General" sourceLinked="1"/>
        <c:tickLblPos val="nextTo"/>
        <c:crossAx val="15097446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plotArea>
      <c:layout/>
      <c:scatterChart>
        <c:scatterStyle val="lineMarker"/>
        <c:ser>
          <c:idx val="0"/>
          <c:order val="0"/>
          <c:tx>
            <c:strRef>
              <c:f>'výpočet PT'!$AL$96</c:f>
              <c:strCache>
                <c:ptCount val="1"/>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'výpočet PT'!$AM$93:$AU$93</c:f>
              <c:numCache>
                <c:formatCode>General</c:formatCode>
                <c:ptCount val="9"/>
                <c:pt idx="0">
                  <c:v>-1</c:v>
                </c:pt>
                <c:pt idx="1">
                  <c:v>1E-4</c:v>
                </c:pt>
                <c:pt idx="2">
                  <c:v>1</c:v>
                </c:pt>
                <c:pt idx="3">
                  <c:v>5</c:v>
                </c:pt>
                <c:pt idx="4">
                  <c:v>18</c:v>
                </c:pt>
                <c:pt idx="5">
                  <c:v>20</c:v>
                </c:pt>
                <c:pt idx="6">
                  <c:v>30</c:v>
                </c:pt>
                <c:pt idx="7">
                  <c:v>40</c:v>
                </c:pt>
                <c:pt idx="8">
                  <c:v>50</c:v>
                </c:pt>
              </c:numCache>
            </c:numRef>
          </c:xVal>
          <c:yVal>
            <c:numRef>
              <c:f>'výpočet PT'!$AM$96:$AU$96</c:f>
              <c:numCache>
                <c:formatCode>General</c:formatCode>
                <c:ptCount val="9"/>
                <c:pt idx="3">
                  <c:v>0.50118723362727224</c:v>
                </c:pt>
                <c:pt idx="4">
                  <c:v>0.7360219228178333</c:v>
                </c:pt>
                <c:pt idx="5">
                  <c:v>0.7596577929323739</c:v>
                </c:pt>
                <c:pt idx="6">
                  <c:v>0.85791720044409492</c:v>
                </c:pt>
                <c:pt idx="7">
                  <c:v>0.9352484478226214</c:v>
                </c:pt>
                <c:pt idx="8">
                  <c:v>1</c:v>
                </c:pt>
              </c:numCache>
            </c:numRef>
          </c:yVal>
          <c:extLst xmlns:c16r2="http://schemas.microsoft.com/office/drawing/2015/06/chart">
            <c:ext xmlns:c16="http://schemas.microsoft.com/office/drawing/2014/chart" uri="{C3380CC4-5D6E-409C-BE32-E72D297353CC}">
              <c16:uniqueId val="{00000000-02D0-47FD-B056-5B2F4F7066BE}"/>
            </c:ext>
          </c:extLst>
        </c:ser>
        <c:axId val="157335552"/>
        <c:axId val="157337472"/>
      </c:scatterChart>
      <c:valAx>
        <c:axId val="157335552"/>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7337472"/>
        <c:crosses val="autoZero"/>
        <c:crossBetween val="midCat"/>
      </c:valAx>
      <c:valAx>
        <c:axId val="15733747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7335552"/>
        <c:crosses val="autoZero"/>
        <c:crossBetween val="midCat"/>
      </c:valAx>
      <c:spPr>
        <a:noFill/>
        <a:ln>
          <a:noFill/>
        </a:ln>
        <a:effectLst/>
      </c:spPr>
    </c:plotArea>
    <c:plotVisOnly val="1"/>
    <c:dispBlanksAs val="gap"/>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'PT-podklady'!$AA$17:$AA$65</c:f>
              <c:numCache>
                <c:formatCode>General</c:formatCode>
                <c:ptCount val="49"/>
                <c:pt idx="0">
                  <c:v>0.11613773395925062</c:v>
                </c:pt>
                <c:pt idx="1">
                  <c:v>0.11187734007163296</c:v>
                </c:pt>
                <c:pt idx="2">
                  <c:v>0.10501458132044206</c:v>
                </c:pt>
                <c:pt idx="3">
                  <c:v>0.10787689641485483</c:v>
                </c:pt>
                <c:pt idx="4">
                  <c:v>0.10817971887906852</c:v>
                </c:pt>
                <c:pt idx="5">
                  <c:v>0.10879128442049193</c:v>
                </c:pt>
                <c:pt idx="6">
                  <c:v>0.10835229578903062</c:v>
                </c:pt>
                <c:pt idx="8">
                  <c:v>0.11602603638719085</c:v>
                </c:pt>
                <c:pt idx="9">
                  <c:v>0.11554101063905874</c:v>
                </c:pt>
                <c:pt idx="10">
                  <c:v>0.11017340538632324</c:v>
                </c:pt>
                <c:pt idx="11">
                  <c:v>0.11427731827746218</c:v>
                </c:pt>
                <c:pt idx="12">
                  <c:v>0.11060097005065168</c:v>
                </c:pt>
                <c:pt idx="13">
                  <c:v>0.11351520675094325</c:v>
                </c:pt>
                <c:pt idx="14">
                  <c:v>0.11360077874901502</c:v>
                </c:pt>
                <c:pt idx="17">
                  <c:v>9.4732986742988148E-2</c:v>
                </c:pt>
                <c:pt idx="18">
                  <c:v>9.4180852187055561E-2</c:v>
                </c:pt>
                <c:pt idx="19">
                  <c:v>9.2802650661356234E-2</c:v>
                </c:pt>
                <c:pt idx="20">
                  <c:v>9.2384729003090957E-2</c:v>
                </c:pt>
                <c:pt idx="21">
                  <c:v>9.0980893642150854E-2</c:v>
                </c:pt>
                <c:pt idx="22">
                  <c:v>9.2044006945035547E-2</c:v>
                </c:pt>
                <c:pt idx="23">
                  <c:v>8.9853306697155522E-2</c:v>
                </c:pt>
                <c:pt idx="25">
                  <c:v>9.9811652532320647E-2</c:v>
                </c:pt>
                <c:pt idx="26">
                  <c:v>9.6288784256591889E-2</c:v>
                </c:pt>
                <c:pt idx="27">
                  <c:v>9.5562800403298842E-2</c:v>
                </c:pt>
                <c:pt idx="28">
                  <c:v>9.8307313939190177E-2</c:v>
                </c:pt>
                <c:pt idx="29">
                  <c:v>9.7593814493408343E-2</c:v>
                </c:pt>
                <c:pt idx="30">
                  <c:v>9.5455969313293185E-2</c:v>
                </c:pt>
                <c:pt idx="31">
                  <c:v>9.175447514343521E-2</c:v>
                </c:pt>
                <c:pt idx="34">
                  <c:v>8.4410026379878045E-2</c:v>
                </c:pt>
                <c:pt idx="35">
                  <c:v>8.6183564632708709E-2</c:v>
                </c:pt>
                <c:pt idx="36">
                  <c:v>8.2690037121916193E-2</c:v>
                </c:pt>
                <c:pt idx="37">
                  <c:v>8.7990255668496192E-2</c:v>
                </c:pt>
                <c:pt idx="38">
                  <c:v>8.394567785517662E-2</c:v>
                </c:pt>
                <c:pt idx="39">
                  <c:v>8.4228167800452836E-2</c:v>
                </c:pt>
                <c:pt idx="40">
                  <c:v>8.2406176149325105E-2</c:v>
                </c:pt>
                <c:pt idx="42">
                  <c:v>8.6904607455508681E-2</c:v>
                </c:pt>
                <c:pt idx="43">
                  <c:v>8.8494894519634756E-2</c:v>
                </c:pt>
                <c:pt idx="44">
                  <c:v>8.7448165882834411E-2</c:v>
                </c:pt>
                <c:pt idx="45">
                  <c:v>8.9528958880128129E-2</c:v>
                </c:pt>
                <c:pt idx="46">
                  <c:v>8.6846370341220711E-2</c:v>
                </c:pt>
                <c:pt idx="47">
                  <c:v>8.7716296125728871E-2</c:v>
                </c:pt>
                <c:pt idx="48">
                  <c:v>8.3015953701203279E-2</c:v>
                </c:pt>
              </c:numCache>
            </c:numRef>
          </c:val>
          <c:extLst xmlns:c16r2="http://schemas.microsoft.com/office/drawing/2015/06/chart">
            <c:ext xmlns:c16="http://schemas.microsoft.com/office/drawing/2014/chart" uri="{C3380CC4-5D6E-409C-BE32-E72D297353CC}">
              <c16:uniqueId val="{00000000-A836-4868-9845-FD529956D499}"/>
            </c:ext>
          </c:extLst>
        </c:ser>
        <c:axId val="157521792"/>
        <c:axId val="157523328"/>
      </c:barChart>
      <c:catAx>
        <c:axId val="157521792"/>
        <c:scaling>
          <c:orientation val="minMax"/>
        </c:scaling>
        <c:axPos val="b"/>
        <c:tickLblPos val="nextTo"/>
        <c:crossAx val="157523328"/>
        <c:crosses val="autoZero"/>
        <c:auto val="1"/>
        <c:lblAlgn val="ctr"/>
        <c:lblOffset val="100"/>
      </c:catAx>
      <c:valAx>
        <c:axId val="157523328"/>
        <c:scaling>
          <c:orientation val="minMax"/>
        </c:scaling>
        <c:axPos val="l"/>
        <c:majorGridlines/>
        <c:numFmt formatCode="General" sourceLinked="1"/>
        <c:tickLblPos val="nextTo"/>
        <c:crossAx val="157521792"/>
        <c:crosses val="autoZero"/>
        <c:crossBetween val="between"/>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'PT-podklady'!$I$8:$I$19</c:f>
              <c:numCache>
                <c:formatCode>General</c:formatCode>
                <c:ptCount val="12"/>
                <c:pt idx="0">
                  <c:v>0.367135135471996</c:v>
                </c:pt>
                <c:pt idx="1">
                  <c:v>0.367135135471996</c:v>
                </c:pt>
                <c:pt idx="2">
                  <c:v>0.44016306711995784</c:v>
                </c:pt>
                <c:pt idx="3">
                  <c:v>0.52233839951055872</c:v>
                </c:pt>
                <c:pt idx="4">
                  <c:v>0.37803860762035252</c:v>
                </c:pt>
                <c:pt idx="5">
                  <c:v>0.37803860762035252</c:v>
                </c:pt>
                <c:pt idx="6">
                  <c:v>0.41097680951961435</c:v>
                </c:pt>
                <c:pt idx="7">
                  <c:v>0.44016306711995784</c:v>
                </c:pt>
                <c:pt idx="8">
                  <c:v>0.37803860762035252</c:v>
                </c:pt>
                <c:pt idx="9">
                  <c:v>0.37803860762035252</c:v>
                </c:pt>
                <c:pt idx="10">
                  <c:v>0.39024242863163544</c:v>
                </c:pt>
                <c:pt idx="11">
                  <c:v>0.44016306711995784</c:v>
                </c:pt>
              </c:numCache>
            </c:numRef>
          </c:val>
          <c:extLst xmlns:c16r2="http://schemas.microsoft.com/office/drawing/2015/06/chart">
            <c:ext xmlns:c16="http://schemas.microsoft.com/office/drawing/2014/chart" uri="{C3380CC4-5D6E-409C-BE32-E72D297353CC}">
              <c16:uniqueId val="{00000000-C02A-421C-B32B-7DD80568054F}"/>
            </c:ext>
          </c:extLst>
        </c:ser>
        <c:ser>
          <c:idx val="1"/>
          <c:order val="1"/>
          <c:val>
            <c:numRef>
              <c:f>'PT-podklady'!$J$8:$J$19</c:f>
              <c:numCache>
                <c:formatCode>General</c:formatCode>
                <c:ptCount val="12"/>
                <c:pt idx="0">
                  <c:v>0.74064710047975635</c:v>
                </c:pt>
                <c:pt idx="1">
                  <c:v>0.74064710047975635</c:v>
                </c:pt>
                <c:pt idx="2">
                  <c:v>0.24316277164367175</c:v>
                </c:pt>
                <c:pt idx="3">
                  <c:v>5.8410064727821141E-2</c:v>
                </c:pt>
                <c:pt idx="4">
                  <c:v>0.53946934708848038</c:v>
                </c:pt>
                <c:pt idx="5">
                  <c:v>0.53946934708848038</c:v>
                </c:pt>
                <c:pt idx="6">
                  <c:v>0.31808146685630367</c:v>
                </c:pt>
                <c:pt idx="7">
                  <c:v>0.24316277164367175</c:v>
                </c:pt>
                <c:pt idx="8">
                  <c:v>0.53946934708848038</c:v>
                </c:pt>
                <c:pt idx="9">
                  <c:v>0.53946934708848038</c:v>
                </c:pt>
                <c:pt idx="10">
                  <c:v>0.43419248512091535</c:v>
                </c:pt>
                <c:pt idx="11">
                  <c:v>0.24316277164367175</c:v>
                </c:pt>
              </c:numCache>
            </c:numRef>
          </c:val>
          <c:extLst xmlns:c16r2="http://schemas.microsoft.com/office/drawing/2015/06/chart">
            <c:ext xmlns:c16="http://schemas.microsoft.com/office/drawing/2014/chart" uri="{C3380CC4-5D6E-409C-BE32-E72D297353CC}">
              <c16:uniqueId val="{00000001-C02A-421C-B32B-7DD80568054F}"/>
            </c:ext>
          </c:extLst>
        </c:ser>
        <c:axId val="157539712"/>
        <c:axId val="157361280"/>
      </c:barChart>
      <c:catAx>
        <c:axId val="157539712"/>
        <c:scaling>
          <c:orientation val="minMax"/>
        </c:scaling>
        <c:axPos val="b"/>
        <c:tickLblPos val="nextTo"/>
        <c:crossAx val="157361280"/>
        <c:crosses val="autoZero"/>
        <c:auto val="1"/>
        <c:lblAlgn val="ctr"/>
        <c:lblOffset val="100"/>
      </c:catAx>
      <c:valAx>
        <c:axId val="157361280"/>
        <c:scaling>
          <c:orientation val="minMax"/>
        </c:scaling>
        <c:axPos val="l"/>
        <c:majorGridlines/>
        <c:numFmt formatCode="General" sourceLinked="1"/>
        <c:tickLblPos val="nextTo"/>
        <c:crossAx val="15753971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'PT-podklady'!$I$36:$I$44</c:f>
              <c:numCache>
                <c:formatCode>General</c:formatCode>
                <c:ptCount val="9"/>
                <c:pt idx="0">
                  <c:v>0.31496182315367932</c:v>
                </c:pt>
                <c:pt idx="1">
                  <c:v>0.31496182315367932</c:v>
                </c:pt>
                <c:pt idx="2">
                  <c:v>0.31496182315367932</c:v>
                </c:pt>
                <c:pt idx="3">
                  <c:v>0.31887454240719315</c:v>
                </c:pt>
                <c:pt idx="4">
                  <c:v>0.41423018151715124</c:v>
                </c:pt>
                <c:pt idx="5">
                  <c:v>0.31496182315367932</c:v>
                </c:pt>
                <c:pt idx="6">
                  <c:v>0.30251095255520444</c:v>
                </c:pt>
                <c:pt idx="7">
                  <c:v>0.30251095255520444</c:v>
                </c:pt>
                <c:pt idx="8">
                  <c:v>0.41423018151715124</c:v>
                </c:pt>
              </c:numCache>
            </c:numRef>
          </c:val>
          <c:extLst xmlns:c16r2="http://schemas.microsoft.com/office/drawing/2015/06/chart">
            <c:ext xmlns:c16="http://schemas.microsoft.com/office/drawing/2014/chart" uri="{C3380CC4-5D6E-409C-BE32-E72D297353CC}">
              <c16:uniqueId val="{00000000-F4F8-465A-B7C6-FF861ABD5A5F}"/>
            </c:ext>
          </c:extLst>
        </c:ser>
        <c:ser>
          <c:idx val="1"/>
          <c:order val="1"/>
          <c:val>
            <c:numRef>
              <c:f>'PT-podklady'!$J$36:$J$44</c:f>
              <c:numCache>
                <c:formatCode>General</c:formatCode>
                <c:ptCount val="9"/>
                <c:pt idx="0">
                  <c:v>0.50419959622267774</c:v>
                </c:pt>
                <c:pt idx="1">
                  <c:v>0.50419959622267774</c:v>
                </c:pt>
                <c:pt idx="2">
                  <c:v>0.50419959622267774</c:v>
                </c:pt>
                <c:pt idx="3">
                  <c:v>0.48914461933910669</c:v>
                </c:pt>
                <c:pt idx="4">
                  <c:v>0.34950867087448634</c:v>
                </c:pt>
                <c:pt idx="5">
                  <c:v>0.50419959622267774</c:v>
                </c:pt>
                <c:pt idx="6">
                  <c:v>0.56917784342244793</c:v>
                </c:pt>
                <c:pt idx="7">
                  <c:v>0.56917784342244793</c:v>
                </c:pt>
                <c:pt idx="8">
                  <c:v>0.34950867087448634</c:v>
                </c:pt>
              </c:numCache>
            </c:numRef>
          </c:val>
          <c:extLst xmlns:c16r2="http://schemas.microsoft.com/office/drawing/2015/06/chart">
            <c:ext xmlns:c16="http://schemas.microsoft.com/office/drawing/2014/chart" uri="{C3380CC4-5D6E-409C-BE32-E72D297353CC}">
              <c16:uniqueId val="{00000001-F4F8-465A-B7C6-FF861ABD5A5F}"/>
            </c:ext>
          </c:extLst>
        </c:ser>
        <c:axId val="157385472"/>
        <c:axId val="157387008"/>
      </c:barChart>
      <c:catAx>
        <c:axId val="157385472"/>
        <c:scaling>
          <c:orientation val="minMax"/>
        </c:scaling>
        <c:axPos val="b"/>
        <c:tickLblPos val="nextTo"/>
        <c:crossAx val="157387008"/>
        <c:crosses val="autoZero"/>
        <c:auto val="1"/>
        <c:lblAlgn val="ctr"/>
        <c:lblOffset val="100"/>
      </c:catAx>
      <c:valAx>
        <c:axId val="157387008"/>
        <c:scaling>
          <c:orientation val="minMax"/>
        </c:scaling>
        <c:axPos val="l"/>
        <c:majorGridlines/>
        <c:numFmt formatCode="General" sourceLinked="1"/>
        <c:tickLblPos val="nextTo"/>
        <c:crossAx val="15738547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'PT-podklady'!$A$62:$A$65</c:f>
              <c:numCache>
                <c:formatCode>General</c:formatCode>
                <c:ptCount val="4"/>
                <c:pt idx="0">
                  <c:v>0.2857142857142857</c:v>
                </c:pt>
                <c:pt idx="1">
                  <c:v>0.2</c:v>
                </c:pt>
                <c:pt idx="2">
                  <c:v>0.1</c:v>
                </c:pt>
                <c:pt idx="3">
                  <c:v>0.1</c:v>
                </c:pt>
              </c:numCache>
            </c:numRef>
          </c:xVal>
          <c:yVal>
            <c:numRef>
              <c:f>'PT-podklady'!$B$62:$B$65</c:f>
              <c:numCache>
                <c:formatCode>General</c:formatCode>
                <c:ptCount val="4"/>
                <c:pt idx="0">
                  <c:v>0.3</c:v>
                </c:pt>
                <c:pt idx="1">
                  <c:v>1.5</c:v>
                </c:pt>
                <c:pt idx="2">
                  <c:v>1.8</c:v>
                </c:pt>
                <c:pt idx="3">
                  <c:v>1.8</c:v>
                </c:pt>
              </c:numCache>
            </c:numRef>
          </c:yVal>
          <c:extLst xmlns:c16r2="http://schemas.microsoft.com/office/drawing/2015/06/chart">
            <c:ext xmlns:c16="http://schemas.microsoft.com/office/drawing/2014/chart" uri="{C3380CC4-5D6E-409C-BE32-E72D297353CC}">
              <c16:uniqueId val="{00000000-471C-494D-931C-7BD6999629BD}"/>
            </c:ext>
          </c:extLst>
        </c:ser>
        <c:axId val="157414528"/>
        <c:axId val="157416064"/>
      </c:scatterChart>
      <c:valAx>
        <c:axId val="157414528"/>
        <c:scaling>
          <c:orientation val="minMax"/>
        </c:scaling>
        <c:axPos val="b"/>
        <c:numFmt formatCode="General" sourceLinked="1"/>
        <c:tickLblPos val="nextTo"/>
        <c:crossAx val="157416064"/>
        <c:crosses val="autoZero"/>
        <c:crossBetween val="midCat"/>
      </c:valAx>
      <c:valAx>
        <c:axId val="157416064"/>
        <c:scaling>
          <c:orientation val="minMax"/>
        </c:scaling>
        <c:axPos val="l"/>
        <c:majorGridlines/>
        <c:numFmt formatCode="General" sourceLinked="1"/>
        <c:tickLblPos val="nextTo"/>
        <c:crossAx val="15741452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'PT-podklady'!$S$71:$S$75</c:f>
              <c:numCache>
                <c:formatCode>General</c:formatCode>
                <c:ptCount val="5"/>
                <c:pt idx="0">
                  <c:v>0</c:v>
                </c:pt>
                <c:pt idx="1">
                  <c:v>0.1</c:v>
                </c:pt>
                <c:pt idx="2">
                  <c:v>0.1</c:v>
                </c:pt>
                <c:pt idx="3">
                  <c:v>0.18181818181818182</c:v>
                </c:pt>
                <c:pt idx="4">
                  <c:v>0.2</c:v>
                </c:pt>
              </c:numCache>
            </c:numRef>
          </c:xVal>
          <c:yVal>
            <c:numRef>
              <c:f>'PT-podklady'!$U$71:$U$75</c:f>
              <c:numCache>
                <c:formatCode>General</c:formatCode>
                <c:ptCount val="5"/>
                <c:pt idx="0">
                  <c:v>0.1</c:v>
                </c:pt>
                <c:pt idx="1">
                  <c:v>0.1</c:v>
                </c:pt>
                <c:pt idx="2">
                  <c:v>0.22</c:v>
                </c:pt>
                <c:pt idx="3">
                  <c:v>0.5</c:v>
                </c:pt>
                <c:pt idx="4">
                  <c:v>0.3</c:v>
                </c:pt>
              </c:numCache>
            </c:numRef>
          </c:yVal>
          <c:extLst xmlns:c16r2="http://schemas.microsoft.com/office/drawing/2015/06/chart">
            <c:ext xmlns:c16="http://schemas.microsoft.com/office/drawing/2014/chart" uri="{C3380CC4-5D6E-409C-BE32-E72D297353CC}">
              <c16:uniqueId val="{00000000-549A-4948-BA60-E39007D1D702}"/>
            </c:ext>
          </c:extLst>
        </c:ser>
        <c:axId val="157570944"/>
        <c:axId val="157572480"/>
      </c:scatterChart>
      <c:valAx>
        <c:axId val="157570944"/>
        <c:scaling>
          <c:orientation val="minMax"/>
        </c:scaling>
        <c:axPos val="b"/>
        <c:numFmt formatCode="General" sourceLinked="1"/>
        <c:tickLblPos val="nextTo"/>
        <c:crossAx val="157572480"/>
        <c:crosses val="autoZero"/>
        <c:crossBetween val="midCat"/>
      </c:valAx>
      <c:valAx>
        <c:axId val="157572480"/>
        <c:scaling>
          <c:orientation val="minMax"/>
        </c:scaling>
        <c:axPos val="l"/>
        <c:majorGridlines/>
        <c:numFmt formatCode="General" sourceLinked="1"/>
        <c:tickLblPos val="nextTo"/>
        <c:crossAx val="15757094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'PT-podklady'!$L$79:$L$82</c:f>
              <c:numCache>
                <c:formatCode>General</c:formatCode>
                <c:ptCount val="4"/>
                <c:pt idx="0">
                  <c:v>0.5</c:v>
                </c:pt>
                <c:pt idx="1">
                  <c:v>0.33333333333333331</c:v>
                </c:pt>
                <c:pt idx="2">
                  <c:v>0.16666666666666666</c:v>
                </c:pt>
                <c:pt idx="3">
                  <c:v>0</c:v>
                </c:pt>
              </c:numCache>
            </c:numRef>
          </c:xVal>
          <c:yVal>
            <c:numRef>
              <c:f>'PT-podklady'!$N$79:$N$82</c:f>
              <c:numCache>
                <c:formatCode>General</c:formatCode>
                <c:ptCount val="4"/>
                <c:pt idx="0">
                  <c:v>0.9</c:v>
                </c:pt>
                <c:pt idx="1">
                  <c:v>2</c:v>
                </c:pt>
                <c:pt idx="2">
                  <c:v>3</c:v>
                </c:pt>
                <c:pt idx="3">
                  <c:v>3.7</c:v>
                </c:pt>
              </c:numCache>
            </c:numRef>
          </c:yVal>
          <c:extLst xmlns:c16r2="http://schemas.microsoft.com/office/drawing/2015/06/chart">
            <c:ext xmlns:c16="http://schemas.microsoft.com/office/drawing/2014/chart" uri="{C3380CC4-5D6E-409C-BE32-E72D297353CC}">
              <c16:uniqueId val="{00000000-15E9-435D-AD27-545719FA80FA}"/>
            </c:ext>
          </c:extLst>
        </c:ser>
        <c:axId val="157587712"/>
        <c:axId val="157593600"/>
      </c:scatterChart>
      <c:valAx>
        <c:axId val="157587712"/>
        <c:scaling>
          <c:orientation val="minMax"/>
        </c:scaling>
        <c:axPos val="b"/>
        <c:numFmt formatCode="General" sourceLinked="1"/>
        <c:tickLblPos val="nextTo"/>
        <c:crossAx val="157593600"/>
        <c:crosses val="autoZero"/>
        <c:crossBetween val="midCat"/>
      </c:valAx>
      <c:valAx>
        <c:axId val="157593600"/>
        <c:scaling>
          <c:orientation val="minMax"/>
        </c:scaling>
        <c:axPos val="l"/>
        <c:majorGridlines/>
        <c:numFmt formatCode="General" sourceLinked="1"/>
        <c:tickLblPos val="nextTo"/>
        <c:crossAx val="15758771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'PT-podklady'!$L$86:$L$90</c:f>
              <c:numCache>
                <c:formatCode>General</c:formatCode>
                <c:ptCount val="5"/>
                <c:pt idx="0">
                  <c:v>0</c:v>
                </c:pt>
                <c:pt idx="1">
                  <c:v>0.05</c:v>
                </c:pt>
                <c:pt idx="2">
                  <c:v>9.0909090909090912E-2</c:v>
                </c:pt>
                <c:pt idx="3">
                  <c:v>0.125</c:v>
                </c:pt>
                <c:pt idx="4">
                  <c:v>0.2857142857142857</c:v>
                </c:pt>
              </c:numCache>
            </c:numRef>
          </c:xVal>
          <c:yVal>
            <c:numRef>
              <c:f>'PT-podklady'!$N$86:$N$90</c:f>
              <c:numCache>
                <c:formatCode>General</c:formatCode>
                <c:ptCount val="5"/>
                <c:pt idx="0">
                  <c:v>2.8</c:v>
                </c:pt>
                <c:pt idx="1">
                  <c:v>1.9</c:v>
                </c:pt>
                <c:pt idx="2">
                  <c:v>1.6</c:v>
                </c:pt>
                <c:pt idx="3">
                  <c:v>1.4</c:v>
                </c:pt>
                <c:pt idx="4">
                  <c:v>0.2</c:v>
                </c:pt>
              </c:numCache>
            </c:numRef>
          </c:yVal>
          <c:extLst xmlns:c16r2="http://schemas.microsoft.com/office/drawing/2015/06/chart">
            <c:ext xmlns:c16="http://schemas.microsoft.com/office/drawing/2014/chart" uri="{C3380CC4-5D6E-409C-BE32-E72D297353CC}">
              <c16:uniqueId val="{00000000-5F6C-44EB-A3C9-EE779DC40E23}"/>
            </c:ext>
          </c:extLst>
        </c:ser>
        <c:axId val="157616768"/>
        <c:axId val="157622656"/>
      </c:scatterChart>
      <c:valAx>
        <c:axId val="157616768"/>
        <c:scaling>
          <c:orientation val="minMax"/>
        </c:scaling>
        <c:axPos val="b"/>
        <c:numFmt formatCode="General" sourceLinked="1"/>
        <c:tickLblPos val="nextTo"/>
        <c:crossAx val="157622656"/>
        <c:crosses val="autoZero"/>
        <c:crossBetween val="midCat"/>
      </c:valAx>
      <c:valAx>
        <c:axId val="157622656"/>
        <c:scaling>
          <c:orientation val="minMax"/>
        </c:scaling>
        <c:axPos val="l"/>
        <c:majorGridlines/>
        <c:numFmt formatCode="General" sourceLinked="1"/>
        <c:tickLblPos val="nextTo"/>
        <c:crossAx val="15761676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1"/>
          <c:order val="0"/>
          <c:xVal>
            <c:numRef>
              <c:f>vymeniky!$A$21:$A$31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vymeniky!$C$21:$C$31</c:f>
              <c:numCache>
                <c:formatCode>General</c:formatCode>
                <c:ptCount val="11"/>
                <c:pt idx="0">
                  <c:v>80</c:v>
                </c:pt>
                <c:pt idx="1">
                  <c:v>75.238095238095241</c:v>
                </c:pt>
                <c:pt idx="2">
                  <c:v>70.476190476190482</c:v>
                </c:pt>
                <c:pt idx="3">
                  <c:v>65.714285714285722</c:v>
                </c:pt>
                <c:pt idx="4">
                  <c:v>60.952380952380963</c:v>
                </c:pt>
                <c:pt idx="5">
                  <c:v>56.190476190476204</c:v>
                </c:pt>
                <c:pt idx="6">
                  <c:v>51.428571428571445</c:v>
                </c:pt>
                <c:pt idx="7">
                  <c:v>46.666666666666686</c:v>
                </c:pt>
                <c:pt idx="8">
                  <c:v>41.904761904761919</c:v>
                </c:pt>
                <c:pt idx="9">
                  <c:v>37.142857142857153</c:v>
                </c:pt>
                <c:pt idx="10">
                  <c:v>32.380952380952394</c:v>
                </c:pt>
              </c:numCache>
            </c:numRef>
          </c:yVal>
          <c:extLst xmlns:c16r2="http://schemas.microsoft.com/office/drawing/2015/06/chart">
            <c:ext xmlns:c16="http://schemas.microsoft.com/office/drawing/2014/chart" uri="{C3380CC4-5D6E-409C-BE32-E72D297353CC}">
              <c16:uniqueId val="{00000000-0367-48A9-A94F-6158D9770DEB}"/>
            </c:ext>
          </c:extLst>
        </c:ser>
        <c:ser>
          <c:idx val="4"/>
          <c:order val="1"/>
          <c:xVal>
            <c:numRef>
              <c:f>vymeniky!$A$21:$A$31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vymeniky!$F$21:$F$31</c:f>
              <c:numCache>
                <c:formatCode>General</c:formatCode>
                <c:ptCount val="11"/>
                <c:pt idx="0">
                  <c:v>60</c:v>
                </c:pt>
                <c:pt idx="1">
                  <c:v>55.238095238095241</c:v>
                </c:pt>
                <c:pt idx="2">
                  <c:v>50.476190476190482</c:v>
                </c:pt>
                <c:pt idx="3">
                  <c:v>45.714285714285722</c:v>
                </c:pt>
                <c:pt idx="4">
                  <c:v>40.952380952380963</c:v>
                </c:pt>
                <c:pt idx="5">
                  <c:v>36.190476190476204</c:v>
                </c:pt>
                <c:pt idx="6">
                  <c:v>31.428571428571441</c:v>
                </c:pt>
                <c:pt idx="7">
                  <c:v>26.666666666666679</c:v>
                </c:pt>
                <c:pt idx="8">
                  <c:v>21.904761904761916</c:v>
                </c:pt>
                <c:pt idx="9">
                  <c:v>17.142857142857153</c:v>
                </c:pt>
                <c:pt idx="10">
                  <c:v>12.38095238095239</c:v>
                </c:pt>
              </c:numCache>
            </c:numRef>
          </c:yVal>
          <c:extLst xmlns:c16r2="http://schemas.microsoft.com/office/drawing/2015/06/chart">
            <c:ext xmlns:c16="http://schemas.microsoft.com/office/drawing/2014/chart" uri="{C3380CC4-5D6E-409C-BE32-E72D297353CC}">
              <c16:uniqueId val="{00000001-0367-48A9-A94F-6158D9770DEB}"/>
            </c:ext>
          </c:extLst>
        </c:ser>
        <c:axId val="157852032"/>
        <c:axId val="157853568"/>
      </c:scatterChart>
      <c:valAx>
        <c:axId val="157852032"/>
        <c:scaling>
          <c:orientation val="minMax"/>
        </c:scaling>
        <c:axPos val="b"/>
        <c:numFmt formatCode="General" sourceLinked="1"/>
        <c:tickLblPos val="nextTo"/>
        <c:crossAx val="157853568"/>
        <c:crosses val="autoZero"/>
        <c:crossBetween val="midCat"/>
      </c:valAx>
      <c:valAx>
        <c:axId val="157853568"/>
        <c:scaling>
          <c:orientation val="minMax"/>
        </c:scaling>
        <c:axPos val="l"/>
        <c:majorGridlines/>
        <c:numFmt formatCode="General" sourceLinked="1"/>
        <c:tickLblPos val="nextTo"/>
        <c:crossAx val="15785203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1"/>
          <c:order val="0"/>
          <c:xVal>
            <c:numRef>
              <c:f>vymeniky!$A$39:$A$49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vymeniky!$C$39:$C$49</c:f>
              <c:numCache>
                <c:formatCode>General</c:formatCode>
                <c:ptCount val="11"/>
                <c:pt idx="0">
                  <c:v>80</c:v>
                </c:pt>
                <c:pt idx="1">
                  <c:v>77.61904761904762</c:v>
                </c:pt>
                <c:pt idx="2">
                  <c:v>75.049130763416485</c:v>
                </c:pt>
                <c:pt idx="3">
                  <c:v>72.275252252576522</c:v>
                </c:pt>
                <c:pt idx="4">
                  <c:v>69.281224653574654</c:v>
                </c:pt>
                <c:pt idx="5">
                  <c:v>66.049575816556768</c:v>
                </c:pt>
                <c:pt idx="6">
                  <c:v>62.561446913108888</c:v>
                </c:pt>
                <c:pt idx="7">
                  <c:v>58.796482382403241</c:v>
                </c:pt>
                <c:pt idx="8">
                  <c:v>54.732711142911434</c:v>
                </c:pt>
                <c:pt idx="9">
                  <c:v>50.346418376475832</c:v>
                </c:pt>
                <c:pt idx="10">
                  <c:v>45.612007136513597</c:v>
                </c:pt>
              </c:numCache>
            </c:numRef>
          </c:yVal>
          <c:extLst xmlns:c16r2="http://schemas.microsoft.com/office/drawing/2015/06/chart">
            <c:ext xmlns:c16="http://schemas.microsoft.com/office/drawing/2014/chart" uri="{C3380CC4-5D6E-409C-BE32-E72D297353CC}">
              <c16:uniqueId val="{00000000-F04C-477E-9D7D-725ADAE3695D}"/>
            </c:ext>
          </c:extLst>
        </c:ser>
        <c:ser>
          <c:idx val="4"/>
          <c:order val="1"/>
          <c:xVal>
            <c:numRef>
              <c:f>vymeniky!$A$39:$A$49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vymeniky!$F$39:$F$49</c:f>
              <c:numCache>
                <c:formatCode>General</c:formatCode>
                <c:ptCount val="11"/>
                <c:pt idx="0">
                  <c:v>60</c:v>
                </c:pt>
                <c:pt idx="1">
                  <c:v>56.031746031746032</c:v>
                </c:pt>
                <c:pt idx="2">
                  <c:v>51.748551272360793</c:v>
                </c:pt>
                <c:pt idx="3">
                  <c:v>47.12542042096085</c:v>
                </c:pt>
                <c:pt idx="4">
                  <c:v>42.135374422624409</c:v>
                </c:pt>
                <c:pt idx="5">
                  <c:v>36.749293027594597</c:v>
                </c:pt>
                <c:pt idx="6">
                  <c:v>30.935744855181468</c:v>
                </c:pt>
                <c:pt idx="7">
                  <c:v>24.66080397067206</c:v>
                </c:pt>
                <c:pt idx="8">
                  <c:v>17.887851904852383</c:v>
                </c:pt>
                <c:pt idx="9">
                  <c:v>10.577363960793047</c:v>
                </c:pt>
                <c:pt idx="10">
                  <c:v>2.6866785608559853</c:v>
                </c:pt>
              </c:numCache>
            </c:numRef>
          </c:yVal>
          <c:extLst xmlns:c16r2="http://schemas.microsoft.com/office/drawing/2015/06/chart">
            <c:ext xmlns:c16="http://schemas.microsoft.com/office/drawing/2014/chart" uri="{C3380CC4-5D6E-409C-BE32-E72D297353CC}">
              <c16:uniqueId val="{00000001-F04C-477E-9D7D-725ADAE3695D}"/>
            </c:ext>
          </c:extLst>
        </c:ser>
        <c:axId val="157685248"/>
        <c:axId val="157686784"/>
      </c:scatterChart>
      <c:valAx>
        <c:axId val="157685248"/>
        <c:scaling>
          <c:orientation val="minMax"/>
        </c:scaling>
        <c:axPos val="b"/>
        <c:numFmt formatCode="General" sourceLinked="1"/>
        <c:tickLblPos val="nextTo"/>
        <c:crossAx val="157686784"/>
        <c:crosses val="autoZero"/>
        <c:crossBetween val="midCat"/>
      </c:valAx>
      <c:valAx>
        <c:axId val="157686784"/>
        <c:scaling>
          <c:orientation val="minMax"/>
        </c:scaling>
        <c:axPos val="l"/>
        <c:majorGridlines/>
        <c:numFmt formatCode="General" sourceLinked="1"/>
        <c:tickLblPos val="nextTo"/>
        <c:crossAx val="15768524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'10 těles'!$AZ$20:$AZ$26</c:f>
              <c:numCache>
                <c:formatCode>General</c:formatCode>
                <c:ptCount val="7"/>
                <c:pt idx="0">
                  <c:v>0.5</c:v>
                </c:pt>
                <c:pt idx="1">
                  <c:v>1.5</c:v>
                </c:pt>
                <c:pt idx="2">
                  <c:v>2.5</c:v>
                </c:pt>
                <c:pt idx="3">
                  <c:v>3.5</c:v>
                </c:pt>
                <c:pt idx="4">
                  <c:v>4.5</c:v>
                </c:pt>
                <c:pt idx="5">
                  <c:v>5.5</c:v>
                </c:pt>
                <c:pt idx="6">
                  <c:v>6.5</c:v>
                </c:pt>
              </c:numCache>
            </c:numRef>
          </c:xVal>
          <c:yVal>
            <c:numRef>
              <c:f>'10 těles'!$BC$20:$BC$26</c:f>
              <c:numCache>
                <c:formatCode>General</c:formatCode>
                <c:ptCount val="7"/>
                <c:pt idx="0">
                  <c:v>0.56466503622069153</c:v>
                </c:pt>
                <c:pt idx="1">
                  <c:v>1.3824754646516442</c:v>
                </c:pt>
                <c:pt idx="2">
                  <c:v>2.5463480364225584</c:v>
                </c:pt>
                <c:pt idx="3">
                  <c:v>3.4828185396451645</c:v>
                </c:pt>
                <c:pt idx="4">
                  <c:v>4.5773458843078227</c:v>
                </c:pt>
                <c:pt idx="5">
                  <c:v>5.4757772522251331</c:v>
                </c:pt>
                <c:pt idx="6">
                  <c:v>6.3825910172126923</c:v>
                </c:pt>
              </c:numCache>
            </c:numRef>
          </c:yVal>
          <c:extLst xmlns:c16r2="http://schemas.microsoft.com/office/drawing/2015/06/chart">
            <c:ext xmlns:c16="http://schemas.microsoft.com/office/drawing/2014/chart" uri="{C3380CC4-5D6E-409C-BE32-E72D297353CC}">
              <c16:uniqueId val="{00000000-5EBA-4199-A02F-BD51D16CB906}"/>
            </c:ext>
          </c:extLst>
        </c:ser>
        <c:ser>
          <c:idx val="1"/>
          <c:order val="1"/>
          <c:xVal>
            <c:numRef>
              <c:f>'10 těles'!$AZ$20:$AZ$26</c:f>
              <c:numCache>
                <c:formatCode>General</c:formatCode>
                <c:ptCount val="7"/>
                <c:pt idx="0">
                  <c:v>0.5</c:v>
                </c:pt>
                <c:pt idx="1">
                  <c:v>1.5</c:v>
                </c:pt>
                <c:pt idx="2">
                  <c:v>2.5</c:v>
                </c:pt>
                <c:pt idx="3">
                  <c:v>3.5</c:v>
                </c:pt>
                <c:pt idx="4">
                  <c:v>4.5</c:v>
                </c:pt>
                <c:pt idx="5">
                  <c:v>5.5</c:v>
                </c:pt>
                <c:pt idx="6">
                  <c:v>6.5</c:v>
                </c:pt>
              </c:numCache>
            </c:numRef>
          </c:xVal>
          <c:yVal>
            <c:numRef>
              <c:f>'10 těles'!$BD$20:$BD$26</c:f>
              <c:numCache>
                <c:formatCode>General</c:formatCode>
                <c:ptCount val="7"/>
              </c:numCache>
            </c:numRef>
          </c:yVal>
          <c:extLst xmlns:c16r2="http://schemas.microsoft.com/office/drawing/2015/06/chart">
            <c:ext xmlns:c16="http://schemas.microsoft.com/office/drawing/2014/chart" uri="{C3380CC4-5D6E-409C-BE32-E72D297353CC}">
              <c16:uniqueId val="{00000001-5EBA-4199-A02F-BD51D16CB906}"/>
            </c:ext>
          </c:extLst>
        </c:ser>
        <c:ser>
          <c:idx val="2"/>
          <c:order val="2"/>
          <c:xVal>
            <c:numRef>
              <c:f>'10 těles'!$AZ$20:$AZ$26</c:f>
              <c:numCache>
                <c:formatCode>General</c:formatCode>
                <c:ptCount val="7"/>
                <c:pt idx="0">
                  <c:v>0.5</c:v>
                </c:pt>
                <c:pt idx="1">
                  <c:v>1.5</c:v>
                </c:pt>
                <c:pt idx="2">
                  <c:v>2.5</c:v>
                </c:pt>
                <c:pt idx="3">
                  <c:v>3.5</c:v>
                </c:pt>
                <c:pt idx="4">
                  <c:v>4.5</c:v>
                </c:pt>
                <c:pt idx="5">
                  <c:v>5.5</c:v>
                </c:pt>
                <c:pt idx="6">
                  <c:v>6.5</c:v>
                </c:pt>
              </c:numCache>
            </c:numRef>
          </c:xVal>
          <c:yVal>
            <c:numRef>
              <c:f>'10 těles'!$BE$20:$BE$26</c:f>
              <c:numCache>
                <c:formatCode>General</c:formatCode>
                <c:ptCount val="7"/>
                <c:pt idx="0">
                  <c:v>0.59869168531593475</c:v>
                </c:pt>
                <c:pt idx="1">
                  <c:v>1.3689556177107631</c:v>
                </c:pt>
                <c:pt idx="2">
                  <c:v>2.5905536198058838</c:v>
                </c:pt>
                <c:pt idx="3">
                  <c:v>3.5001776638359301</c:v>
                </c:pt>
                <c:pt idx="4">
                  <c:v>4.576869810215018</c:v>
                </c:pt>
                <c:pt idx="5">
                  <c:v>5.4862292126047265</c:v>
                </c:pt>
                <c:pt idx="6">
                  <c:v>6.3770159373401398</c:v>
                </c:pt>
              </c:numCache>
            </c:numRef>
          </c:yVal>
          <c:extLst xmlns:c16r2="http://schemas.microsoft.com/office/drawing/2015/06/chart">
            <c:ext xmlns:c16="http://schemas.microsoft.com/office/drawing/2014/chart" uri="{C3380CC4-5D6E-409C-BE32-E72D297353CC}">
              <c16:uniqueId val="{00000002-5EBA-4199-A02F-BD51D16CB906}"/>
            </c:ext>
          </c:extLst>
        </c:ser>
        <c:ser>
          <c:idx val="3"/>
          <c:order val="3"/>
          <c:xVal>
            <c:numRef>
              <c:f>'10 těles'!$AZ$20:$AZ$26</c:f>
              <c:numCache>
                <c:formatCode>General</c:formatCode>
                <c:ptCount val="7"/>
                <c:pt idx="0">
                  <c:v>0.5</c:v>
                </c:pt>
                <c:pt idx="1">
                  <c:v>1.5</c:v>
                </c:pt>
                <c:pt idx="2">
                  <c:v>2.5</c:v>
                </c:pt>
                <c:pt idx="3">
                  <c:v>3.5</c:v>
                </c:pt>
                <c:pt idx="4">
                  <c:v>4.5</c:v>
                </c:pt>
                <c:pt idx="5">
                  <c:v>5.5</c:v>
                </c:pt>
                <c:pt idx="6">
                  <c:v>6.5</c:v>
                </c:pt>
              </c:numCache>
            </c:numRef>
          </c:xVal>
          <c:yVal>
            <c:numRef>
              <c:f>'10 těles'!$BF$20:$BF$26</c:f>
              <c:numCache>
                <c:formatCode>General</c:formatCode>
                <c:ptCount val="7"/>
                <c:pt idx="0">
                  <c:v>0.5</c:v>
                </c:pt>
                <c:pt idx="1">
                  <c:v>1.5</c:v>
                </c:pt>
                <c:pt idx="2">
                  <c:v>2.5</c:v>
                </c:pt>
                <c:pt idx="3">
                  <c:v>3.5</c:v>
                </c:pt>
                <c:pt idx="4">
                  <c:v>4.5</c:v>
                </c:pt>
                <c:pt idx="5">
                  <c:v>5.5</c:v>
                </c:pt>
                <c:pt idx="6">
                  <c:v>6.5</c:v>
                </c:pt>
              </c:numCache>
            </c:numRef>
          </c:yVal>
          <c:extLst xmlns:c16r2="http://schemas.microsoft.com/office/drawing/2015/06/chart">
            <c:ext xmlns:c16="http://schemas.microsoft.com/office/drawing/2014/chart" uri="{C3380CC4-5D6E-409C-BE32-E72D297353CC}">
              <c16:uniqueId val="{00000003-5EBA-4199-A02F-BD51D16CB906}"/>
            </c:ext>
          </c:extLst>
        </c:ser>
        <c:axId val="151153280"/>
        <c:axId val="151159168"/>
      </c:scatterChart>
      <c:valAx>
        <c:axId val="151153280"/>
        <c:scaling>
          <c:orientation val="minMax"/>
        </c:scaling>
        <c:axPos val="b"/>
        <c:numFmt formatCode="General" sourceLinked="1"/>
        <c:tickLblPos val="nextTo"/>
        <c:crossAx val="151159168"/>
        <c:crosses val="autoZero"/>
        <c:crossBetween val="midCat"/>
      </c:valAx>
      <c:valAx>
        <c:axId val="151159168"/>
        <c:scaling>
          <c:orientation val="minMax"/>
        </c:scaling>
        <c:axPos val="l"/>
        <c:majorGridlines/>
        <c:numFmt formatCode="General" sourceLinked="1"/>
        <c:tickLblPos val="nextTo"/>
        <c:crossAx val="15115328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1"/>
          <c:order val="0"/>
          <c:xVal>
            <c:numRef>
              <c:f>vymeniky!$A$79:$A$89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vymeniky!$C$79:$C$89</c:f>
              <c:numCache>
                <c:formatCode>General</c:formatCode>
                <c:ptCount val="11"/>
                <c:pt idx="0">
                  <c:v>1000</c:v>
                </c:pt>
                <c:pt idx="1">
                  <c:v>614.28571428571422</c:v>
                </c:pt>
                <c:pt idx="2">
                  <c:v>382.06997084548107</c:v>
                </c:pt>
                <c:pt idx="3">
                  <c:v>242.26661510085086</c:v>
                </c:pt>
                <c:pt idx="4">
                  <c:v>158.0992886831653</c:v>
                </c:pt>
                <c:pt idx="5">
                  <c:v>107.42712277864032</c:v>
                </c:pt>
                <c:pt idx="6">
                  <c:v>76.920410652446719</c:v>
                </c:pt>
                <c:pt idx="7">
                  <c:v>58.554124780554659</c:v>
                </c:pt>
                <c:pt idx="8">
                  <c:v>47.496871041354332</c:v>
                </c:pt>
                <c:pt idx="9">
                  <c:v>40.839952973876585</c:v>
                </c:pt>
                <c:pt idx="10">
                  <c:v>36.83221658631345</c:v>
                </c:pt>
              </c:numCache>
            </c:numRef>
          </c:yVal>
          <c:extLst xmlns:c16r2="http://schemas.microsoft.com/office/drawing/2015/06/chart">
            <c:ext xmlns:c16="http://schemas.microsoft.com/office/drawing/2014/chart" uri="{C3380CC4-5D6E-409C-BE32-E72D297353CC}">
              <c16:uniqueId val="{00000000-8D50-4496-A61F-AD26A29F95AF}"/>
            </c:ext>
          </c:extLst>
        </c:ser>
        <c:ser>
          <c:idx val="4"/>
          <c:order val="1"/>
          <c:xVal>
            <c:numRef>
              <c:f>vymeniky!$A$79:$A$89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vymeniky!$F$79:$F$89</c:f>
              <c:numCache>
                <c:formatCode>General</c:formatCode>
                <c:ptCount val="11"/>
                <c:pt idx="0">
                  <c:v>100</c:v>
                </c:pt>
                <c:pt idx="1">
                  <c:v>72.448979591836732</c:v>
                </c:pt>
                <c:pt idx="2">
                  <c:v>55.862140774677215</c:v>
                </c:pt>
                <c:pt idx="3">
                  <c:v>45.876186792917913</c:v>
                </c:pt>
                <c:pt idx="4">
                  <c:v>39.864234905940371</c:v>
                </c:pt>
                <c:pt idx="5">
                  <c:v>36.244794484188589</c:v>
                </c:pt>
                <c:pt idx="6">
                  <c:v>34.065743618031902</c:v>
                </c:pt>
                <c:pt idx="7">
                  <c:v>32.753866055753896</c:v>
                </c:pt>
                <c:pt idx="8">
                  <c:v>31.964062217239587</c:v>
                </c:pt>
                <c:pt idx="9">
                  <c:v>31.488568069562604</c:v>
                </c:pt>
                <c:pt idx="10">
                  <c:v>31.202301184736665</c:v>
                </c:pt>
              </c:numCache>
            </c:numRef>
          </c:yVal>
          <c:extLst xmlns:c16r2="http://schemas.microsoft.com/office/drawing/2015/06/chart">
            <c:ext xmlns:c16="http://schemas.microsoft.com/office/drawing/2014/chart" uri="{C3380CC4-5D6E-409C-BE32-E72D297353CC}">
              <c16:uniqueId val="{00000001-8D50-4496-A61F-AD26A29F95AF}"/>
            </c:ext>
          </c:extLst>
        </c:ser>
        <c:axId val="157710976"/>
        <c:axId val="157716864"/>
      </c:scatterChart>
      <c:valAx>
        <c:axId val="157710976"/>
        <c:scaling>
          <c:orientation val="minMax"/>
        </c:scaling>
        <c:axPos val="b"/>
        <c:numFmt formatCode="General" sourceLinked="1"/>
        <c:tickLblPos val="nextTo"/>
        <c:crossAx val="157716864"/>
        <c:crosses val="autoZero"/>
        <c:crossBetween val="midCat"/>
      </c:valAx>
      <c:valAx>
        <c:axId val="157716864"/>
        <c:scaling>
          <c:orientation val="minMax"/>
        </c:scaling>
        <c:axPos val="l"/>
        <c:majorGridlines/>
        <c:numFmt formatCode="General" sourceLinked="1"/>
        <c:tickLblPos val="nextTo"/>
        <c:crossAx val="157710976"/>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1"/>
          <c:order val="0"/>
          <c:xVal>
            <c:numRef>
              <c:f>vymeniky!$A$99:$A$109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vymeniky!$C$99:$C$109</c:f>
              <c:numCache>
                <c:formatCode>General</c:formatCode>
                <c:ptCount val="11"/>
                <c:pt idx="0">
                  <c:v>1000</c:v>
                </c:pt>
                <c:pt idx="1">
                  <c:v>588.57142857142856</c:v>
                </c:pt>
                <c:pt idx="2">
                  <c:v>351.85171316232913</c:v>
                </c:pt>
                <c:pt idx="3">
                  <c:v>215.6525584249836</c:v>
                </c:pt>
                <c:pt idx="4">
                  <c:v>137.28895563377171</c:v>
                </c:pt>
                <c:pt idx="5">
                  <c:v>92.20164026635095</c:v>
                </c:pt>
                <c:pt idx="6">
                  <c:v>66.26018358706169</c:v>
                </c:pt>
                <c:pt idx="7">
                  <c:v>51.334496192293685</c:v>
                </c:pt>
                <c:pt idx="8">
                  <c:v>42.746846433049711</c:v>
                </c:pt>
                <c:pt idx="9">
                  <c:v>37.805852665935546</c:v>
                </c:pt>
                <c:pt idx="10">
                  <c:v>34.963000419850204</c:v>
                </c:pt>
              </c:numCache>
            </c:numRef>
          </c:yVal>
          <c:extLst xmlns:c16r2="http://schemas.microsoft.com/office/drawing/2015/06/chart">
            <c:ext xmlns:c16="http://schemas.microsoft.com/office/drawing/2014/chart" uri="{C3380CC4-5D6E-409C-BE32-E72D297353CC}">
              <c16:uniqueId val="{00000000-45E0-46C1-8906-0DC7ADCC684C}"/>
            </c:ext>
          </c:extLst>
        </c:ser>
        <c:ser>
          <c:idx val="4"/>
          <c:order val="1"/>
          <c:xVal>
            <c:numRef>
              <c:f>vymeniky!$A$99:$A$109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vymeniky!$F$99:$F$109</c:f>
              <c:numCache>
                <c:formatCode>General</c:formatCode>
                <c:ptCount val="11"/>
                <c:pt idx="0">
                  <c:v>40</c:v>
                </c:pt>
                <c:pt idx="1">
                  <c:v>36.225425950196595</c:v>
                </c:pt>
                <c:pt idx="2">
                  <c:v>34.053685441856231</c:v>
                </c:pt>
                <c:pt idx="3">
                  <c:v>32.804151912155817</c:v>
                </c:pt>
                <c:pt idx="4">
                  <c:v>32.085219776456626</c:v>
                </c:pt>
                <c:pt idx="5">
                  <c:v>31.671574681342673</c:v>
                </c:pt>
                <c:pt idx="6">
                  <c:v>31.43357966593635</c:v>
                </c:pt>
                <c:pt idx="7">
                  <c:v>31.296646754057743</c:v>
                </c:pt>
                <c:pt idx="8">
                  <c:v>31.217860976450002</c:v>
                </c:pt>
                <c:pt idx="9">
                  <c:v>31.172530758403084</c:v>
                </c:pt>
                <c:pt idx="10">
                  <c:v>31.146449545136246</c:v>
                </c:pt>
              </c:numCache>
            </c:numRef>
          </c:yVal>
          <c:extLst xmlns:c16r2="http://schemas.microsoft.com/office/drawing/2015/06/chart">
            <c:ext xmlns:c16="http://schemas.microsoft.com/office/drawing/2014/chart" uri="{C3380CC4-5D6E-409C-BE32-E72D297353CC}">
              <c16:uniqueId val="{00000001-45E0-46C1-8906-0DC7ADCC684C}"/>
            </c:ext>
          </c:extLst>
        </c:ser>
        <c:axId val="157741056"/>
        <c:axId val="157742592"/>
      </c:scatterChart>
      <c:valAx>
        <c:axId val="157741056"/>
        <c:scaling>
          <c:orientation val="minMax"/>
        </c:scaling>
        <c:axPos val="b"/>
        <c:numFmt formatCode="General" sourceLinked="1"/>
        <c:tickLblPos val="nextTo"/>
        <c:crossAx val="157742592"/>
        <c:crosses val="autoZero"/>
        <c:crossBetween val="midCat"/>
      </c:valAx>
      <c:valAx>
        <c:axId val="157742592"/>
        <c:scaling>
          <c:orientation val="minMax"/>
        </c:scaling>
        <c:axPos val="l"/>
        <c:majorGridlines/>
        <c:numFmt formatCode="General" sourceLinked="1"/>
        <c:tickLblPos val="nextTo"/>
        <c:crossAx val="157741056"/>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1"/>
          <c:order val="0"/>
          <c:xVal>
            <c:numRef>
              <c:f>vymeniky!$A$134:$A$144</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vymeniky!$C$134:$C$144</c:f>
              <c:numCache>
                <c:formatCode>General</c:formatCode>
                <c:ptCount val="11"/>
                <c:pt idx="0">
                  <c:v>90</c:v>
                </c:pt>
                <c:pt idx="1">
                  <c:v>88.434991974317811</c:v>
                </c:pt>
                <c:pt idx="2">
                  <c:v>86.906994001994178</c:v>
                </c:pt>
                <c:pt idx="3">
                  <c:v>85.41513085170304</c:v>
                </c:pt>
                <c:pt idx="4">
                  <c:v>83.958547990004575</c:v>
                </c:pt>
                <c:pt idx="5">
                  <c:v>82.53641109187177</c:v>
                </c:pt>
                <c:pt idx="6">
                  <c:v>81.147905562792246</c:v>
                </c:pt>
                <c:pt idx="7">
                  <c:v>79.792236072171676</c:v>
                </c:pt>
                <c:pt idx="8">
                  <c:v>78.468626097771505</c:v>
                </c:pt>
                <c:pt idx="9">
                  <c:v>77.176317480920034</c:v>
                </c:pt>
                <c:pt idx="10">
                  <c:v>75.914569992242036</c:v>
                </c:pt>
              </c:numCache>
            </c:numRef>
          </c:yVal>
          <c:extLst xmlns:c16r2="http://schemas.microsoft.com/office/drawing/2015/06/chart">
            <c:ext xmlns:c16="http://schemas.microsoft.com/office/drawing/2014/chart" uri="{C3380CC4-5D6E-409C-BE32-E72D297353CC}">
              <c16:uniqueId val="{00000000-3367-42A4-8484-37D847CB08AF}"/>
            </c:ext>
          </c:extLst>
        </c:ser>
        <c:ser>
          <c:idx val="4"/>
          <c:order val="1"/>
          <c:xVal>
            <c:numRef>
              <c:f>vymeniky!$A$134:$A$144</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vymeniky!$F$134:$F$144</c:f>
              <c:numCache>
                <c:formatCode>General</c:formatCode>
                <c:ptCount val="11"/>
                <c:pt idx="0">
                  <c:v>25</c:v>
                </c:pt>
                <c:pt idx="1">
                  <c:v>24.972142857142856</c:v>
                </c:pt>
                <c:pt idx="2">
                  <c:v>24.944944493235496</c:v>
                </c:pt>
                <c:pt idx="3">
                  <c:v>24.918389329160313</c:v>
                </c:pt>
                <c:pt idx="4">
                  <c:v>24.892462154222081</c:v>
                </c:pt>
                <c:pt idx="5">
                  <c:v>24.867148117435317</c:v>
                </c:pt>
                <c:pt idx="6">
                  <c:v>24.842432719017701</c:v>
                </c:pt>
                <c:pt idx="7">
                  <c:v>24.818301802084655</c:v>
                </c:pt>
                <c:pt idx="8">
                  <c:v>24.794741544540333</c:v>
                </c:pt>
                <c:pt idx="9">
                  <c:v>24.771738451160378</c:v>
                </c:pt>
                <c:pt idx="10">
                  <c:v>24.749279345861908</c:v>
                </c:pt>
              </c:numCache>
            </c:numRef>
          </c:yVal>
          <c:extLst xmlns:c16r2="http://schemas.microsoft.com/office/drawing/2015/06/chart">
            <c:ext xmlns:c16="http://schemas.microsoft.com/office/drawing/2014/chart" uri="{C3380CC4-5D6E-409C-BE32-E72D297353CC}">
              <c16:uniqueId val="{00000001-3367-42A4-8484-37D847CB08AF}"/>
            </c:ext>
          </c:extLst>
        </c:ser>
        <c:axId val="157906048"/>
        <c:axId val="157907584"/>
      </c:scatterChart>
      <c:valAx>
        <c:axId val="157906048"/>
        <c:scaling>
          <c:orientation val="minMax"/>
        </c:scaling>
        <c:axPos val="b"/>
        <c:numFmt formatCode="General" sourceLinked="1"/>
        <c:tickLblPos val="nextTo"/>
        <c:crossAx val="157907584"/>
        <c:crosses val="autoZero"/>
        <c:crossBetween val="midCat"/>
      </c:valAx>
      <c:valAx>
        <c:axId val="157907584"/>
        <c:scaling>
          <c:orientation val="minMax"/>
        </c:scaling>
        <c:axPos val="l"/>
        <c:majorGridlines/>
        <c:numFmt formatCode="General" sourceLinked="1"/>
        <c:tickLblPos val="nextTo"/>
        <c:crossAx val="15790604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1"/>
          <c:order val="0"/>
          <c:xVal>
            <c:numRef>
              <c:f>vymeniky!$A$159:$A$169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vymeniky!$C$159:$C$169</c:f>
              <c:numCache>
                <c:formatCode>General</c:formatCode>
                <c:ptCount val="11"/>
                <c:pt idx="0">
                  <c:v>80</c:v>
                </c:pt>
                <c:pt idx="1">
                  <c:v>66.134453781512605</c:v>
                </c:pt>
                <c:pt idx="2">
                  <c:v>55.758481039474617</c:v>
                </c:pt>
                <c:pt idx="3">
                  <c:v>47.993852899548351</c:v>
                </c:pt>
                <c:pt idx="4">
                  <c:v>42.183366340820839</c:v>
                </c:pt>
                <c:pt idx="5">
                  <c:v>37.835218117785182</c:v>
                </c:pt>
                <c:pt idx="6">
                  <c:v>34.581378223587294</c:v>
                </c:pt>
                <c:pt idx="7">
                  <c:v>32.146439598224134</c:v>
                </c:pt>
                <c:pt idx="8">
                  <c:v>30.324307501356785</c:v>
                </c:pt>
                <c:pt idx="9">
                  <c:v>28.960755523557335</c:v>
                </c:pt>
                <c:pt idx="10">
                  <c:v>27.940371765784068</c:v>
                </c:pt>
              </c:numCache>
            </c:numRef>
          </c:yVal>
          <c:extLst xmlns:c16r2="http://schemas.microsoft.com/office/drawing/2015/06/chart">
            <c:ext xmlns:c16="http://schemas.microsoft.com/office/drawing/2014/chart" uri="{C3380CC4-5D6E-409C-BE32-E72D297353CC}">
              <c16:uniqueId val="{00000000-45DE-4058-8FCF-02EAFEB65BF1}"/>
            </c:ext>
          </c:extLst>
        </c:ser>
        <c:ser>
          <c:idx val="4"/>
          <c:order val="1"/>
          <c:xVal>
            <c:numRef>
              <c:f>vymeniky!$A$159:$A$169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vymeniky!$F$159:$F$169</c:f>
              <c:numCache>
                <c:formatCode>General</c:formatCode>
                <c:ptCount val="11"/>
                <c:pt idx="0">
                  <c:v>25</c:v>
                </c:pt>
                <c:pt idx="1">
                  <c:v>24.976428571428571</c:v>
                </c:pt>
                <c:pt idx="2">
                  <c:v>24.958789417767107</c:v>
                </c:pt>
                <c:pt idx="3">
                  <c:v>24.945589549929231</c:v>
                </c:pt>
                <c:pt idx="4">
                  <c:v>24.935711722779395</c:v>
                </c:pt>
                <c:pt idx="5">
                  <c:v>24.928319870800234</c:v>
                </c:pt>
                <c:pt idx="6">
                  <c:v>24.922788342980098</c:v>
                </c:pt>
                <c:pt idx="7">
                  <c:v>24.918648947316981</c:v>
                </c:pt>
                <c:pt idx="8">
                  <c:v>24.915551322752307</c:v>
                </c:pt>
                <c:pt idx="9">
                  <c:v>24.913233284390049</c:v>
                </c:pt>
                <c:pt idx="10">
                  <c:v>24.911498632001834</c:v>
                </c:pt>
              </c:numCache>
            </c:numRef>
          </c:yVal>
          <c:extLst xmlns:c16r2="http://schemas.microsoft.com/office/drawing/2015/06/chart">
            <c:ext xmlns:c16="http://schemas.microsoft.com/office/drawing/2014/chart" uri="{C3380CC4-5D6E-409C-BE32-E72D297353CC}">
              <c16:uniqueId val="{00000001-45DE-4058-8FCF-02EAFEB65BF1}"/>
            </c:ext>
          </c:extLst>
        </c:ser>
        <c:axId val="157927680"/>
        <c:axId val="157937664"/>
      </c:scatterChart>
      <c:valAx>
        <c:axId val="157927680"/>
        <c:scaling>
          <c:orientation val="minMax"/>
        </c:scaling>
        <c:axPos val="b"/>
        <c:numFmt formatCode="General" sourceLinked="1"/>
        <c:tickLblPos val="nextTo"/>
        <c:crossAx val="157937664"/>
        <c:crosses val="autoZero"/>
        <c:crossBetween val="midCat"/>
      </c:valAx>
      <c:valAx>
        <c:axId val="157937664"/>
        <c:scaling>
          <c:orientation val="minMax"/>
        </c:scaling>
        <c:axPos val="l"/>
        <c:majorGridlines/>
        <c:numFmt formatCode="General" sourceLinked="1"/>
        <c:tickLblPos val="nextTo"/>
        <c:crossAx val="15792768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vymeniky!$AI$57:$AI$59</c:f>
              <c:numCache>
                <c:formatCode>General</c:formatCode>
                <c:ptCount val="3"/>
                <c:pt idx="0">
                  <c:v>-50</c:v>
                </c:pt>
                <c:pt idx="1">
                  <c:v>25</c:v>
                </c:pt>
                <c:pt idx="2">
                  <c:v>70</c:v>
                </c:pt>
              </c:numCache>
            </c:numRef>
          </c:xVal>
          <c:yVal>
            <c:numRef>
              <c:f>vymeniky!$AL$57:$AL$59</c:f>
              <c:numCache>
                <c:formatCode>General</c:formatCode>
                <c:ptCount val="3"/>
                <c:pt idx="0">
                  <c:v>352.91980000000001</c:v>
                </c:pt>
                <c:pt idx="1">
                  <c:v>352.98100000000005</c:v>
                </c:pt>
                <c:pt idx="2">
                  <c:v>352.94699999999995</c:v>
                </c:pt>
              </c:numCache>
            </c:numRef>
          </c:yVal>
          <c:extLst xmlns:c16r2="http://schemas.microsoft.com/office/drawing/2015/06/chart">
            <c:ext xmlns:c16="http://schemas.microsoft.com/office/drawing/2014/chart" uri="{C3380CC4-5D6E-409C-BE32-E72D297353CC}">
              <c16:uniqueId val="{00000000-31EC-4730-AD06-779D728659C8}"/>
            </c:ext>
          </c:extLst>
        </c:ser>
        <c:axId val="157993600"/>
        <c:axId val="157999488"/>
      </c:scatterChart>
      <c:valAx>
        <c:axId val="157993600"/>
        <c:scaling>
          <c:orientation val="minMax"/>
        </c:scaling>
        <c:axPos val="b"/>
        <c:numFmt formatCode="General" sourceLinked="1"/>
        <c:tickLblPos val="nextTo"/>
        <c:crossAx val="157999488"/>
        <c:crosses val="autoZero"/>
        <c:crossBetween val="midCat"/>
      </c:valAx>
      <c:valAx>
        <c:axId val="157999488"/>
        <c:scaling>
          <c:orientation val="minMax"/>
        </c:scaling>
        <c:axPos val="l"/>
        <c:majorGridlines/>
        <c:numFmt formatCode="General" sourceLinked="1"/>
        <c:tickLblPos val="nextTo"/>
        <c:crossAx val="15799360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vymeniky!$AU$77:$AU$107</c:f>
              <c:numCache>
                <c:formatCode>General</c:formatCode>
                <c:ptCount val="31"/>
                <c:pt idx="0">
                  <c:v>1.2809999999999999</c:v>
                </c:pt>
                <c:pt idx="1">
                  <c:v>1.2929999999999999</c:v>
                </c:pt>
                <c:pt idx="2">
                  <c:v>1.2969999999999999</c:v>
                </c:pt>
                <c:pt idx="3">
                  <c:v>1.302</c:v>
                </c:pt>
                <c:pt idx="4">
                  <c:v>1.304</c:v>
                </c:pt>
                <c:pt idx="5">
                  <c:v>1.306</c:v>
                </c:pt>
                <c:pt idx="6">
                  <c:v>1.3080000000000001</c:v>
                </c:pt>
                <c:pt idx="7">
                  <c:v>1.31</c:v>
                </c:pt>
                <c:pt idx="8">
                  <c:v>1.3180000000000001</c:v>
                </c:pt>
                <c:pt idx="9">
                  <c:v>1.323</c:v>
                </c:pt>
                <c:pt idx="10">
                  <c:v>1.327</c:v>
                </c:pt>
                <c:pt idx="11">
                  <c:v>1.335</c:v>
                </c:pt>
                <c:pt idx="12">
                  <c:v>1.343</c:v>
                </c:pt>
                <c:pt idx="13">
                  <c:v>1.3520000000000001</c:v>
                </c:pt>
                <c:pt idx="14">
                  <c:v>1.36</c:v>
                </c:pt>
                <c:pt idx="15">
                  <c:v>1.3640000000000001</c:v>
                </c:pt>
                <c:pt idx="16">
                  <c:v>1.373</c:v>
                </c:pt>
                <c:pt idx="17">
                  <c:v>1.381</c:v>
                </c:pt>
                <c:pt idx="18">
                  <c:v>1.39</c:v>
                </c:pt>
                <c:pt idx="19">
                  <c:v>1.3839999999999999</c:v>
                </c:pt>
                <c:pt idx="20">
                  <c:v>1.4059999999999999</c:v>
                </c:pt>
                <c:pt idx="21">
                  <c:v>1.41</c:v>
                </c:pt>
                <c:pt idx="22">
                  <c:v>1.423</c:v>
                </c:pt>
                <c:pt idx="23">
                  <c:v>1.431</c:v>
                </c:pt>
                <c:pt idx="24">
                  <c:v>1.4359999999999999</c:v>
                </c:pt>
                <c:pt idx="25">
                  <c:v>1.444</c:v>
                </c:pt>
                <c:pt idx="26">
                  <c:v>1.452</c:v>
                </c:pt>
                <c:pt idx="27">
                  <c:v>1.4570000000000001</c:v>
                </c:pt>
                <c:pt idx="28">
                  <c:v>1.4650000000000001</c:v>
                </c:pt>
                <c:pt idx="29">
                  <c:v>1.4730000000000001</c:v>
                </c:pt>
                <c:pt idx="30">
                  <c:v>1.4770000000000001</c:v>
                </c:pt>
              </c:numCache>
            </c:numRef>
          </c:yVal>
          <c:extLst xmlns:c16r2="http://schemas.microsoft.com/office/drawing/2015/06/chart">
            <c:ext xmlns:c16="http://schemas.microsoft.com/office/drawing/2014/chart" uri="{C3380CC4-5D6E-409C-BE32-E72D297353CC}">
              <c16:uniqueId val="{00000000-7861-4074-BDA0-7869429D89A8}"/>
            </c:ext>
          </c:extLst>
        </c:ser>
        <c:ser>
          <c:idx val="1"/>
          <c:order val="1"/>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vymeniky!$AV$77:$AV$107</c:f>
              <c:numCache>
                <c:formatCode>General</c:formatCode>
                <c:ptCount val="31"/>
                <c:pt idx="0">
                  <c:v>1.3029999999999999</c:v>
                </c:pt>
                <c:pt idx="1">
                  <c:v>1.304</c:v>
                </c:pt>
                <c:pt idx="2">
                  <c:v>1.31</c:v>
                </c:pt>
                <c:pt idx="3">
                  <c:v>1.3140000000000001</c:v>
                </c:pt>
                <c:pt idx="4">
                  <c:v>1.325</c:v>
                </c:pt>
                <c:pt idx="5">
                  <c:v>1.335</c:v>
                </c:pt>
                <c:pt idx="6">
                  <c:v>1.3480000000000001</c:v>
                </c:pt>
                <c:pt idx="7">
                  <c:v>1.36</c:v>
                </c:pt>
                <c:pt idx="8">
                  <c:v>1.373</c:v>
                </c:pt>
                <c:pt idx="9">
                  <c:v>1.385</c:v>
                </c:pt>
                <c:pt idx="10">
                  <c:v>1.3979999999999999</c:v>
                </c:pt>
                <c:pt idx="11">
                  <c:v>1.411</c:v>
                </c:pt>
                <c:pt idx="12">
                  <c:v>1.423</c:v>
                </c:pt>
                <c:pt idx="13">
                  <c:v>1.4319999999999999</c:v>
                </c:pt>
                <c:pt idx="14">
                  <c:v>1.444</c:v>
                </c:pt>
                <c:pt idx="15">
                  <c:v>1.4530000000000001</c:v>
                </c:pt>
                <c:pt idx="16">
                  <c:v>1.4610000000000001</c:v>
                </c:pt>
                <c:pt idx="17">
                  <c:v>1.4690000000000001</c:v>
                </c:pt>
                <c:pt idx="18">
                  <c:v>1.478</c:v>
                </c:pt>
                <c:pt idx="19">
                  <c:v>1.482</c:v>
                </c:pt>
                <c:pt idx="20">
                  <c:v>1.49</c:v>
                </c:pt>
                <c:pt idx="21">
                  <c:v>1.498</c:v>
                </c:pt>
                <c:pt idx="22">
                  <c:v>1.5029999999999999</c:v>
                </c:pt>
                <c:pt idx="23">
                  <c:v>1.5109999999999999</c:v>
                </c:pt>
                <c:pt idx="24">
                  <c:v>1.5149999999999999</c:v>
                </c:pt>
                <c:pt idx="25">
                  <c:v>1.5189999999999999</c:v>
                </c:pt>
                <c:pt idx="26">
                  <c:v>1.528</c:v>
                </c:pt>
                <c:pt idx="27">
                  <c:v>1.532</c:v>
                </c:pt>
                <c:pt idx="28">
                  <c:v>1.536</c:v>
                </c:pt>
                <c:pt idx="29">
                  <c:v>1.54</c:v>
                </c:pt>
                <c:pt idx="30">
                  <c:v>1.5449999999999999</c:v>
                </c:pt>
              </c:numCache>
            </c:numRef>
          </c:yVal>
          <c:extLst xmlns:c16r2="http://schemas.microsoft.com/office/drawing/2015/06/chart">
            <c:ext xmlns:c16="http://schemas.microsoft.com/office/drawing/2014/chart" uri="{C3380CC4-5D6E-409C-BE32-E72D297353CC}">
              <c16:uniqueId val="{00000001-7861-4074-BDA0-7869429D89A8}"/>
            </c:ext>
          </c:extLst>
        </c:ser>
        <c:ser>
          <c:idx val="2"/>
          <c:order val="2"/>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vymeniky!$AW$77:$AW$107</c:f>
              <c:numCache>
                <c:formatCode>General</c:formatCode>
                <c:ptCount val="31"/>
                <c:pt idx="0">
                  <c:v>1.306</c:v>
                </c:pt>
                <c:pt idx="1">
                  <c:v>1.3180000000000001</c:v>
                </c:pt>
                <c:pt idx="2">
                  <c:v>1.335</c:v>
                </c:pt>
                <c:pt idx="3">
                  <c:v>1.3560000000000001</c:v>
                </c:pt>
                <c:pt idx="4">
                  <c:v>1.381</c:v>
                </c:pt>
                <c:pt idx="5">
                  <c:v>1.4019999999999999</c:v>
                </c:pt>
                <c:pt idx="6">
                  <c:v>1.419</c:v>
                </c:pt>
                <c:pt idx="7">
                  <c:v>1.4359999999999999</c:v>
                </c:pt>
                <c:pt idx="8">
                  <c:v>1.452</c:v>
                </c:pt>
                <c:pt idx="9">
                  <c:v>1.4690000000000001</c:v>
                </c:pt>
                <c:pt idx="10">
                  <c:v>1.482</c:v>
                </c:pt>
                <c:pt idx="11">
                  <c:v>1.49</c:v>
                </c:pt>
                <c:pt idx="12">
                  <c:v>1.5029999999999999</c:v>
                </c:pt>
                <c:pt idx="13">
                  <c:v>1.5149999999999999</c:v>
                </c:pt>
                <c:pt idx="14">
                  <c:v>1.5229999999999999</c:v>
                </c:pt>
                <c:pt idx="15">
                  <c:v>1.532</c:v>
                </c:pt>
                <c:pt idx="16">
                  <c:v>1.54</c:v>
                </c:pt>
                <c:pt idx="17">
                  <c:v>1.5489999999999999</c:v>
                </c:pt>
                <c:pt idx="18">
                  <c:v>1.5569999999999999</c:v>
                </c:pt>
                <c:pt idx="19">
                  <c:v>1.5660000000000001</c:v>
                </c:pt>
                <c:pt idx="20">
                  <c:v>1.5740000000000001</c:v>
                </c:pt>
                <c:pt idx="21">
                  <c:v>1.5780000000000001</c:v>
                </c:pt>
                <c:pt idx="22">
                  <c:v>1.5860000000000001</c:v>
                </c:pt>
                <c:pt idx="23">
                  <c:v>1.595</c:v>
                </c:pt>
                <c:pt idx="24">
                  <c:v>1.599</c:v>
                </c:pt>
                <c:pt idx="25">
                  <c:v>1.607</c:v>
                </c:pt>
                <c:pt idx="26">
                  <c:v>1.611</c:v>
                </c:pt>
                <c:pt idx="27">
                  <c:v>1.617</c:v>
                </c:pt>
                <c:pt idx="28">
                  <c:v>1.6240000000000001</c:v>
                </c:pt>
                <c:pt idx="29">
                  <c:v>1.629</c:v>
                </c:pt>
                <c:pt idx="30">
                  <c:v>1.637</c:v>
                </c:pt>
              </c:numCache>
            </c:numRef>
          </c:yVal>
          <c:extLst xmlns:c16r2="http://schemas.microsoft.com/office/drawing/2015/06/chart">
            <c:ext xmlns:c16="http://schemas.microsoft.com/office/drawing/2014/chart" uri="{C3380CC4-5D6E-409C-BE32-E72D297353CC}">
              <c16:uniqueId val="{00000002-7861-4074-BDA0-7869429D89A8}"/>
            </c:ext>
          </c:extLst>
        </c:ser>
        <c:ser>
          <c:idx val="3"/>
          <c:order val="3"/>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vymeniky!$AX$77:$AX$107</c:f>
              <c:numCache>
                <c:formatCode>General</c:formatCode>
                <c:ptCount val="31"/>
                <c:pt idx="0">
                  <c:v>1.2989999999999999</c:v>
                </c:pt>
                <c:pt idx="1">
                  <c:v>1.302</c:v>
                </c:pt>
                <c:pt idx="2">
                  <c:v>1.3069999999999999</c:v>
                </c:pt>
                <c:pt idx="3">
                  <c:v>1.3169999999999999</c:v>
                </c:pt>
                <c:pt idx="4">
                  <c:v>1.329</c:v>
                </c:pt>
                <c:pt idx="5">
                  <c:v>1.343</c:v>
                </c:pt>
                <c:pt idx="6">
                  <c:v>1.357</c:v>
                </c:pt>
                <c:pt idx="7">
                  <c:v>1.3720000000000001</c:v>
                </c:pt>
                <c:pt idx="8">
                  <c:v>1.3859999999999999</c:v>
                </c:pt>
                <c:pt idx="9">
                  <c:v>1.4</c:v>
                </c:pt>
                <c:pt idx="10">
                  <c:v>1.413</c:v>
                </c:pt>
                <c:pt idx="11">
                  <c:v>1.425</c:v>
                </c:pt>
                <c:pt idx="12">
                  <c:v>1.4359999999999999</c:v>
                </c:pt>
                <c:pt idx="13">
                  <c:v>1.4470000000000001</c:v>
                </c:pt>
                <c:pt idx="14">
                  <c:v>1.4570000000000001</c:v>
                </c:pt>
                <c:pt idx="15">
                  <c:v>1.466</c:v>
                </c:pt>
                <c:pt idx="16">
                  <c:v>1.4750000000000001</c:v>
                </c:pt>
                <c:pt idx="17">
                  <c:v>1.4830000000000001</c:v>
                </c:pt>
                <c:pt idx="18">
                  <c:v>1.49</c:v>
                </c:pt>
                <c:pt idx="19">
                  <c:v>1.4970000000000001</c:v>
                </c:pt>
                <c:pt idx="20">
                  <c:v>1.504</c:v>
                </c:pt>
                <c:pt idx="21">
                  <c:v>1.51</c:v>
                </c:pt>
                <c:pt idx="22">
                  <c:v>1.516</c:v>
                </c:pt>
                <c:pt idx="23">
                  <c:v>1.5209999999999999</c:v>
                </c:pt>
                <c:pt idx="24">
                  <c:v>1.5269999999999999</c:v>
                </c:pt>
                <c:pt idx="25">
                  <c:v>1.532</c:v>
                </c:pt>
                <c:pt idx="26">
                  <c:v>1.54</c:v>
                </c:pt>
                <c:pt idx="27">
                  <c:v>1.5449999999999999</c:v>
                </c:pt>
                <c:pt idx="28">
                  <c:v>1.5489999999999999</c:v>
                </c:pt>
                <c:pt idx="29">
                  <c:v>1.5529999999999999</c:v>
                </c:pt>
                <c:pt idx="30">
                  <c:v>1.5569999999999999</c:v>
                </c:pt>
              </c:numCache>
            </c:numRef>
          </c:yVal>
          <c:extLst xmlns:c16r2="http://schemas.microsoft.com/office/drawing/2015/06/chart">
            <c:ext xmlns:c16="http://schemas.microsoft.com/office/drawing/2014/chart" uri="{C3380CC4-5D6E-409C-BE32-E72D297353CC}">
              <c16:uniqueId val="{00000003-7861-4074-BDA0-7869429D89A8}"/>
            </c:ext>
          </c:extLst>
        </c:ser>
        <c:ser>
          <c:idx val="4"/>
          <c:order val="4"/>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vymeniky!$AY$77:$AY$107</c:f>
              <c:numCache>
                <c:formatCode>General</c:formatCode>
                <c:ptCount val="31"/>
                <c:pt idx="0">
                  <c:v>1.49</c:v>
                </c:pt>
                <c:pt idx="1">
                  <c:v>1.498</c:v>
                </c:pt>
                <c:pt idx="2">
                  <c:v>1.5189999999999999</c:v>
                </c:pt>
                <c:pt idx="3">
                  <c:v>1.536</c:v>
                </c:pt>
                <c:pt idx="4">
                  <c:v>1.5569999999999999</c:v>
                </c:pt>
                <c:pt idx="5">
                  <c:v>1.5820000000000001</c:v>
                </c:pt>
                <c:pt idx="6">
                  <c:v>1.607</c:v>
                </c:pt>
                <c:pt idx="7">
                  <c:v>1.6339999999999999</c:v>
                </c:pt>
                <c:pt idx="8">
                  <c:v>1.6619999999999999</c:v>
                </c:pt>
                <c:pt idx="9">
                  <c:v>1.6910000000000001</c:v>
                </c:pt>
                <c:pt idx="10">
                  <c:v>1.716</c:v>
                </c:pt>
                <c:pt idx="11">
                  <c:v>1.7410000000000001</c:v>
                </c:pt>
                <c:pt idx="12">
                  <c:v>1.7669999999999999</c:v>
                </c:pt>
                <c:pt idx="13">
                  <c:v>1.792</c:v>
                </c:pt>
                <c:pt idx="14">
                  <c:v>1.8169999999999999</c:v>
                </c:pt>
                <c:pt idx="15">
                  <c:v>1.8380000000000001</c:v>
                </c:pt>
                <c:pt idx="16">
                  <c:v>1.863</c:v>
                </c:pt>
                <c:pt idx="17">
                  <c:v>1.8839999999999999</c:v>
                </c:pt>
                <c:pt idx="18">
                  <c:v>1.905</c:v>
                </c:pt>
                <c:pt idx="19">
                  <c:v>1.9259999999999999</c:v>
                </c:pt>
                <c:pt idx="20">
                  <c:v>1.9470000000000001</c:v>
                </c:pt>
                <c:pt idx="21">
                  <c:v>1.968</c:v>
                </c:pt>
                <c:pt idx="22">
                  <c:v>1.984</c:v>
                </c:pt>
                <c:pt idx="23">
                  <c:v>2.0009999999999999</c:v>
                </c:pt>
                <c:pt idx="24">
                  <c:v>2.0179999999999998</c:v>
                </c:pt>
                <c:pt idx="25">
                  <c:v>2.0299999999999998</c:v>
                </c:pt>
                <c:pt idx="26">
                  <c:v>2.0470000000000002</c:v>
                </c:pt>
                <c:pt idx="27">
                  <c:v>2.06</c:v>
                </c:pt>
                <c:pt idx="28">
                  <c:v>2.0760000000000001</c:v>
                </c:pt>
                <c:pt idx="29">
                  <c:v>2.089</c:v>
                </c:pt>
                <c:pt idx="30">
                  <c:v>2.097</c:v>
                </c:pt>
              </c:numCache>
            </c:numRef>
          </c:yVal>
          <c:extLst xmlns:c16r2="http://schemas.microsoft.com/office/drawing/2015/06/chart">
            <c:ext xmlns:c16="http://schemas.microsoft.com/office/drawing/2014/chart" uri="{C3380CC4-5D6E-409C-BE32-E72D297353CC}">
              <c16:uniqueId val="{00000004-7861-4074-BDA0-7869429D89A8}"/>
            </c:ext>
          </c:extLst>
        </c:ser>
        <c:ser>
          <c:idx val="5"/>
          <c:order val="5"/>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vymeniky!$AZ$77:$AZ$107</c:f>
              <c:numCache>
                <c:formatCode>General</c:formatCode>
                <c:ptCount val="31"/>
                <c:pt idx="0">
                  <c:v>1.62</c:v>
                </c:pt>
                <c:pt idx="1">
                  <c:v>1.7250000000000001</c:v>
                </c:pt>
                <c:pt idx="2">
                  <c:v>1.8169999999999999</c:v>
                </c:pt>
                <c:pt idx="3">
                  <c:v>1.8919999999999999</c:v>
                </c:pt>
                <c:pt idx="4">
                  <c:v>1.9550000000000001</c:v>
                </c:pt>
                <c:pt idx="5">
                  <c:v>2.0219999999999998</c:v>
                </c:pt>
                <c:pt idx="6">
                  <c:v>2.0760000000000001</c:v>
                </c:pt>
                <c:pt idx="7">
                  <c:v>2.1219999999999999</c:v>
                </c:pt>
                <c:pt idx="8">
                  <c:v>2.1640000000000001</c:v>
                </c:pt>
                <c:pt idx="9">
                  <c:v>2.202</c:v>
                </c:pt>
                <c:pt idx="10">
                  <c:v>2.2360000000000002</c:v>
                </c:pt>
                <c:pt idx="11">
                  <c:v>2.2650000000000001</c:v>
                </c:pt>
                <c:pt idx="12">
                  <c:v>2.294</c:v>
                </c:pt>
                <c:pt idx="13">
                  <c:v>2.3149999999999999</c:v>
                </c:pt>
                <c:pt idx="14">
                  <c:v>2.34</c:v>
                </c:pt>
                <c:pt idx="15">
                  <c:v>2.3610000000000002</c:v>
                </c:pt>
                <c:pt idx="16">
                  <c:v>2.3820000000000001</c:v>
                </c:pt>
                <c:pt idx="17">
                  <c:v>2.399</c:v>
                </c:pt>
                <c:pt idx="18">
                  <c:v>2.4159999999999999</c:v>
                </c:pt>
                <c:pt idx="19">
                  <c:v>2.4279999999999999</c:v>
                </c:pt>
                <c:pt idx="20">
                  <c:v>2.4449999999999998</c:v>
                </c:pt>
                <c:pt idx="21">
                  <c:v>2.4569999999999999</c:v>
                </c:pt>
                <c:pt idx="22">
                  <c:v>2.4700000000000002</c:v>
                </c:pt>
                <c:pt idx="23">
                  <c:v>2.4820000000000002</c:v>
                </c:pt>
                <c:pt idx="24">
                  <c:v>2.4910000000000001</c:v>
                </c:pt>
                <c:pt idx="25">
                  <c:v>2.4990000000000001</c:v>
                </c:pt>
                <c:pt idx="26">
                  <c:v>2.508</c:v>
                </c:pt>
                <c:pt idx="27">
                  <c:v>2.52</c:v>
                </c:pt>
                <c:pt idx="28">
                  <c:v>2.5249999999999999</c:v>
                </c:pt>
                <c:pt idx="29">
                  <c:v>2.5369999999999999</c:v>
                </c:pt>
                <c:pt idx="30">
                  <c:v>2.5409999999999999</c:v>
                </c:pt>
              </c:numCache>
            </c:numRef>
          </c:yVal>
          <c:extLst xmlns:c16r2="http://schemas.microsoft.com/office/drawing/2015/06/chart">
            <c:ext xmlns:c16="http://schemas.microsoft.com/office/drawing/2014/chart" uri="{C3380CC4-5D6E-409C-BE32-E72D297353CC}">
              <c16:uniqueId val="{00000005-7861-4074-BDA0-7869429D89A8}"/>
            </c:ext>
          </c:extLst>
        </c:ser>
        <c:ser>
          <c:idx val="6"/>
          <c:order val="6"/>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vymeniky!$BA$77:$BA$107</c:f>
              <c:numCache>
                <c:formatCode>General</c:formatCode>
                <c:ptCount val="31"/>
                <c:pt idx="0">
                  <c:v>1.7789999999999999</c:v>
                </c:pt>
                <c:pt idx="1">
                  <c:v>1.863</c:v>
                </c:pt>
                <c:pt idx="2">
                  <c:v>1.9419999999999999</c:v>
                </c:pt>
                <c:pt idx="3">
                  <c:v>2.0099999999999998</c:v>
                </c:pt>
                <c:pt idx="4">
                  <c:v>2.0720000000000001</c:v>
                </c:pt>
                <c:pt idx="5">
                  <c:v>2.1230000000000002</c:v>
                </c:pt>
                <c:pt idx="6">
                  <c:v>2.169</c:v>
                </c:pt>
                <c:pt idx="7">
                  <c:v>2.206</c:v>
                </c:pt>
                <c:pt idx="8">
                  <c:v>2.2400000000000002</c:v>
                </c:pt>
                <c:pt idx="9">
                  <c:v>2.2730000000000001</c:v>
                </c:pt>
                <c:pt idx="10">
                  <c:v>2.294</c:v>
                </c:pt>
                <c:pt idx="11">
                  <c:v>2.319</c:v>
                </c:pt>
                <c:pt idx="12">
                  <c:v>2.34</c:v>
                </c:pt>
                <c:pt idx="13">
                  <c:v>2.3570000000000002</c:v>
                </c:pt>
                <c:pt idx="14">
                  <c:v>2.3740000000000001</c:v>
                </c:pt>
                <c:pt idx="15">
                  <c:v>2.3860000000000001</c:v>
                </c:pt>
                <c:pt idx="16">
                  <c:v>2.399</c:v>
                </c:pt>
                <c:pt idx="17">
                  <c:v>2.4119999999999999</c:v>
                </c:pt>
                <c:pt idx="18">
                  <c:v>2.4239999999999999</c:v>
                </c:pt>
                <c:pt idx="19">
                  <c:v>2.4329999999999998</c:v>
                </c:pt>
                <c:pt idx="20">
                  <c:v>2.4409999999999998</c:v>
                </c:pt>
                <c:pt idx="21">
                  <c:v>2.4489999999999998</c:v>
                </c:pt>
                <c:pt idx="22">
                  <c:v>2.4569999999999999</c:v>
                </c:pt>
                <c:pt idx="23">
                  <c:v>2.4660000000000002</c:v>
                </c:pt>
                <c:pt idx="24">
                  <c:v>2.4740000000000002</c:v>
                </c:pt>
                <c:pt idx="25">
                  <c:v>2.4780000000000002</c:v>
                </c:pt>
                <c:pt idx="26">
                  <c:v>2.4830000000000001</c:v>
                </c:pt>
                <c:pt idx="27">
                  <c:v>2.4910000000000001</c:v>
                </c:pt>
                <c:pt idx="28">
                  <c:v>2.4950000000000001</c:v>
                </c:pt>
                <c:pt idx="29">
                  <c:v>2.4990000000000001</c:v>
                </c:pt>
                <c:pt idx="30">
                  <c:v>2.504</c:v>
                </c:pt>
              </c:numCache>
            </c:numRef>
          </c:yVal>
          <c:extLst xmlns:c16r2="http://schemas.microsoft.com/office/drawing/2015/06/chart">
            <c:ext xmlns:c16="http://schemas.microsoft.com/office/drawing/2014/chart" uri="{C3380CC4-5D6E-409C-BE32-E72D297353CC}">
              <c16:uniqueId val="{00000006-7861-4074-BDA0-7869429D89A8}"/>
            </c:ext>
          </c:extLst>
        </c:ser>
        <c:ser>
          <c:idx val="7"/>
          <c:order val="7"/>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vymeniky!$BB$77:$BB$107</c:f>
              <c:numCache>
                <c:formatCode>General</c:formatCode>
                <c:ptCount val="31"/>
                <c:pt idx="0">
                  <c:v>1.298</c:v>
                </c:pt>
                <c:pt idx="1">
                  <c:v>1.302</c:v>
                </c:pt>
                <c:pt idx="2">
                  <c:v>1.31</c:v>
                </c:pt>
                <c:pt idx="3">
                  <c:v>1.319</c:v>
                </c:pt>
                <c:pt idx="4">
                  <c:v>1.331</c:v>
                </c:pt>
                <c:pt idx="5">
                  <c:v>1.3440000000000001</c:v>
                </c:pt>
                <c:pt idx="6">
                  <c:v>1.3560000000000001</c:v>
                </c:pt>
                <c:pt idx="7">
                  <c:v>1.373</c:v>
                </c:pt>
                <c:pt idx="8">
                  <c:v>1.3859999999999999</c:v>
                </c:pt>
                <c:pt idx="9">
                  <c:v>1.3979999999999999</c:v>
                </c:pt>
                <c:pt idx="10">
                  <c:v>1.411</c:v>
                </c:pt>
                <c:pt idx="11">
                  <c:v>1.4259999999999999</c:v>
                </c:pt>
                <c:pt idx="12">
                  <c:v>1.4359999999999999</c:v>
                </c:pt>
                <c:pt idx="13">
                  <c:v>1.444</c:v>
                </c:pt>
                <c:pt idx="14">
                  <c:v>1.4530000000000001</c:v>
                </c:pt>
                <c:pt idx="15">
                  <c:v>1.4650000000000001</c:v>
                </c:pt>
                <c:pt idx="16">
                  <c:v>1.474</c:v>
                </c:pt>
                <c:pt idx="17">
                  <c:v>1.482</c:v>
                </c:pt>
                <c:pt idx="18">
                  <c:v>1.486</c:v>
                </c:pt>
                <c:pt idx="19">
                  <c:v>1.4950000000000001</c:v>
                </c:pt>
                <c:pt idx="20">
                  <c:v>1.4990000000000001</c:v>
                </c:pt>
                <c:pt idx="21">
                  <c:v>1.5069999999999999</c:v>
                </c:pt>
                <c:pt idx="22">
                  <c:v>1.5109999999999999</c:v>
                </c:pt>
                <c:pt idx="23">
                  <c:v>1.516</c:v>
                </c:pt>
                <c:pt idx="24">
                  <c:v>1.52</c:v>
                </c:pt>
                <c:pt idx="25">
                  <c:v>1.528</c:v>
                </c:pt>
                <c:pt idx="26">
                  <c:v>1.532</c:v>
                </c:pt>
                <c:pt idx="27">
                  <c:v>1.5369999999999999</c:v>
                </c:pt>
                <c:pt idx="28">
                  <c:v>1.5409999999999999</c:v>
                </c:pt>
                <c:pt idx="29">
                  <c:v>1.5449999999999999</c:v>
                </c:pt>
                <c:pt idx="30">
                  <c:v>1.5489999999999999</c:v>
                </c:pt>
              </c:numCache>
            </c:numRef>
          </c:yVal>
          <c:extLst xmlns:c16r2="http://schemas.microsoft.com/office/drawing/2015/06/chart">
            <c:ext xmlns:c16="http://schemas.microsoft.com/office/drawing/2014/chart" uri="{C3380CC4-5D6E-409C-BE32-E72D297353CC}">
              <c16:uniqueId val="{00000007-7861-4074-BDA0-7869429D89A8}"/>
            </c:ext>
          </c:extLst>
        </c:ser>
        <c:ser>
          <c:idx val="8"/>
          <c:order val="8"/>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vymeniky!$BC$77:$BC$107</c:f>
              <c:numCache>
                <c:formatCode>General</c:formatCode>
                <c:ptCount val="31"/>
                <c:pt idx="0">
                  <c:v>1.0049999999999999</c:v>
                </c:pt>
                <c:pt idx="1">
                  <c:v>1.0049999999999999</c:v>
                </c:pt>
                <c:pt idx="2">
                  <c:v>1.0129999999999999</c:v>
                </c:pt>
                <c:pt idx="3">
                  <c:v>1.022</c:v>
                </c:pt>
                <c:pt idx="4">
                  <c:v>1.03</c:v>
                </c:pt>
                <c:pt idx="5">
                  <c:v>1.042</c:v>
                </c:pt>
                <c:pt idx="6">
                  <c:v>1.0509999999999999</c:v>
                </c:pt>
                <c:pt idx="7">
                  <c:v>1.0589999999999999</c:v>
                </c:pt>
                <c:pt idx="8">
                  <c:v>1.0720000000000001</c:v>
                </c:pt>
                <c:pt idx="9">
                  <c:v>1.0840000000000001</c:v>
                </c:pt>
                <c:pt idx="10">
                  <c:v>1.093</c:v>
                </c:pt>
                <c:pt idx="11">
                  <c:v>1.101</c:v>
                </c:pt>
                <c:pt idx="12">
                  <c:v>1.109</c:v>
                </c:pt>
                <c:pt idx="13">
                  <c:v>1.1180000000000001</c:v>
                </c:pt>
                <c:pt idx="14">
                  <c:v>1.1259999999999999</c:v>
                </c:pt>
                <c:pt idx="15">
                  <c:v>1.135</c:v>
                </c:pt>
                <c:pt idx="16">
                  <c:v>1.139</c:v>
                </c:pt>
                <c:pt idx="17">
                  <c:v>1.143</c:v>
                </c:pt>
                <c:pt idx="18">
                  <c:v>1.151</c:v>
                </c:pt>
                <c:pt idx="19">
                  <c:v>1.157</c:v>
                </c:pt>
                <c:pt idx="20">
                  <c:v>1.1599999999999999</c:v>
                </c:pt>
                <c:pt idx="21">
                  <c:v>1.1639999999999999</c:v>
                </c:pt>
                <c:pt idx="22">
                  <c:v>1.1679999999999999</c:v>
                </c:pt>
                <c:pt idx="23">
                  <c:v>1.1719999999999999</c:v>
                </c:pt>
                <c:pt idx="24">
                  <c:v>1.1759999999999999</c:v>
                </c:pt>
                <c:pt idx="25">
                  <c:v>1.181</c:v>
                </c:pt>
                <c:pt idx="26">
                  <c:v>1.1850000000000001</c:v>
                </c:pt>
                <c:pt idx="27">
                  <c:v>1.1890000000000001</c:v>
                </c:pt>
                <c:pt idx="28">
                  <c:v>1.1930000000000001</c:v>
                </c:pt>
                <c:pt idx="29">
                  <c:v>1.196</c:v>
                </c:pt>
                <c:pt idx="30">
                  <c:v>1.1970000000000001</c:v>
                </c:pt>
              </c:numCache>
            </c:numRef>
          </c:yVal>
          <c:extLst xmlns:c16r2="http://schemas.microsoft.com/office/drawing/2015/06/chart">
            <c:ext xmlns:c16="http://schemas.microsoft.com/office/drawing/2014/chart" uri="{C3380CC4-5D6E-409C-BE32-E72D297353CC}">
              <c16:uniqueId val="{00000008-7861-4074-BDA0-7869429D89A8}"/>
            </c:ext>
          </c:extLst>
        </c:ser>
        <c:ser>
          <c:idx val="9"/>
          <c:order val="9"/>
          <c:marker>
            <c:symbol val="none"/>
          </c:marker>
          <c:xVal>
            <c:numRef>
              <c:f>vymeniky!$AT$77:$AT$107</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vymeniky!$BD$77:$BD$107</c:f>
              <c:numCache>
                <c:formatCode>General</c:formatCode>
                <c:ptCount val="31"/>
                <c:pt idx="0">
                  <c:v>1.2915422885572141</c:v>
                </c:pt>
                <c:pt idx="1">
                  <c:v>1.2955223880597018</c:v>
                </c:pt>
                <c:pt idx="2">
                  <c:v>1.2931885488647583</c:v>
                </c:pt>
                <c:pt idx="3">
                  <c:v>1.2906066536203522</c:v>
                </c:pt>
                <c:pt idx="4">
                  <c:v>1.2922330097087378</c:v>
                </c:pt>
                <c:pt idx="5">
                  <c:v>1.289827255278311</c:v>
                </c:pt>
                <c:pt idx="6">
                  <c:v>1.2901998097050429</c:v>
                </c:pt>
                <c:pt idx="7">
                  <c:v>1.2965061378659113</c:v>
                </c:pt>
                <c:pt idx="8">
                  <c:v>1.2929104477611939</c:v>
                </c:pt>
                <c:pt idx="9">
                  <c:v>1.2896678966789665</c:v>
                </c:pt>
                <c:pt idx="10">
                  <c:v>1.2909423604757548</c:v>
                </c:pt>
                <c:pt idx="11">
                  <c:v>1.2951861943687557</c:v>
                </c:pt>
                <c:pt idx="12">
                  <c:v>1.2948602344454463</c:v>
                </c:pt>
                <c:pt idx="13">
                  <c:v>1.2915921288014309</c:v>
                </c:pt>
                <c:pt idx="14">
                  <c:v>1.2904085257548847</c:v>
                </c:pt>
                <c:pt idx="15">
                  <c:v>1.2907488986784141</c:v>
                </c:pt>
                <c:pt idx="16">
                  <c:v>1.2941176470588236</c:v>
                </c:pt>
                <c:pt idx="17">
                  <c:v>1.2965879265091864</c:v>
                </c:pt>
                <c:pt idx="18">
                  <c:v>1.2910512597741095</c:v>
                </c:pt>
                <c:pt idx="19">
                  <c:v>1.2921348314606742</c:v>
                </c:pt>
                <c:pt idx="20">
                  <c:v>1.2922413793103451</c:v>
                </c:pt>
                <c:pt idx="21">
                  <c:v>1.2946735395189004</c:v>
                </c:pt>
                <c:pt idx="22">
                  <c:v>1.2936643835616439</c:v>
                </c:pt>
                <c:pt idx="23">
                  <c:v>1.2935153583617749</c:v>
                </c:pt>
                <c:pt idx="24">
                  <c:v>1.2925170068027212</c:v>
                </c:pt>
                <c:pt idx="25">
                  <c:v>1.2938187976291278</c:v>
                </c:pt>
                <c:pt idx="26">
                  <c:v>1.2928270042194092</c:v>
                </c:pt>
                <c:pt idx="27">
                  <c:v>1.2926829268292681</c:v>
                </c:pt>
                <c:pt idx="28">
                  <c:v>1.2917015926236377</c:v>
                </c:pt>
                <c:pt idx="29">
                  <c:v>1.2918060200668897</c:v>
                </c:pt>
                <c:pt idx="30">
                  <c:v>1.2940685045948204</c:v>
                </c:pt>
              </c:numCache>
            </c:numRef>
          </c:yVal>
          <c:extLst xmlns:c16r2="http://schemas.microsoft.com/office/drawing/2015/06/chart">
            <c:ext xmlns:c16="http://schemas.microsoft.com/office/drawing/2014/chart" uri="{C3380CC4-5D6E-409C-BE32-E72D297353CC}">
              <c16:uniqueId val="{00000009-7861-4074-BDA0-7869429D89A8}"/>
            </c:ext>
          </c:extLst>
        </c:ser>
        <c:axId val="158083328"/>
        <c:axId val="158093312"/>
      </c:scatterChart>
      <c:valAx>
        <c:axId val="158083328"/>
        <c:scaling>
          <c:orientation val="minMax"/>
        </c:scaling>
        <c:axPos val="b"/>
        <c:numFmt formatCode="General" sourceLinked="1"/>
        <c:tickLblPos val="nextTo"/>
        <c:crossAx val="158093312"/>
        <c:crosses val="autoZero"/>
        <c:crossBetween val="midCat"/>
      </c:valAx>
      <c:valAx>
        <c:axId val="158093312"/>
        <c:scaling>
          <c:orientation val="minMax"/>
        </c:scaling>
        <c:axPos val="l"/>
        <c:majorGridlines/>
        <c:numFmt formatCode="General" sourceLinked="1"/>
        <c:tickLblPos val="nextTo"/>
        <c:crossAx val="15808332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vymeniky!$AV$115:$AV$145</c:f>
              <c:numCache>
                <c:formatCode>General</c:formatCode>
                <c:ptCount val="31"/>
                <c:pt idx="0">
                  <c:v>1.0389999999999999</c:v>
                </c:pt>
                <c:pt idx="1">
                  <c:v>1.04</c:v>
                </c:pt>
                <c:pt idx="2">
                  <c:v>1.0429999999999999</c:v>
                </c:pt>
                <c:pt idx="3">
                  <c:v>1.0489999999999999</c:v>
                </c:pt>
                <c:pt idx="4">
                  <c:v>1.0569999999999999</c:v>
                </c:pt>
                <c:pt idx="5">
                  <c:v>1.0660000000000001</c:v>
                </c:pt>
                <c:pt idx="6">
                  <c:v>1.0760000000000001</c:v>
                </c:pt>
                <c:pt idx="7">
                  <c:v>1.087</c:v>
                </c:pt>
                <c:pt idx="8">
                  <c:v>1.097</c:v>
                </c:pt>
                <c:pt idx="9">
                  <c:v>1.1080000000000001</c:v>
                </c:pt>
                <c:pt idx="10">
                  <c:v>1.1180000000000001</c:v>
                </c:pt>
                <c:pt idx="11">
                  <c:v>1.127</c:v>
                </c:pt>
                <c:pt idx="12">
                  <c:v>1.1359999999999999</c:v>
                </c:pt>
                <c:pt idx="13">
                  <c:v>1.145</c:v>
                </c:pt>
                <c:pt idx="14">
                  <c:v>1.153</c:v>
                </c:pt>
                <c:pt idx="15">
                  <c:v>1.1599999999999999</c:v>
                </c:pt>
                <c:pt idx="16">
                  <c:v>1.167</c:v>
                </c:pt>
                <c:pt idx="17">
                  <c:v>1.1739999999999999</c:v>
                </c:pt>
                <c:pt idx="18">
                  <c:v>1.18</c:v>
                </c:pt>
                <c:pt idx="19">
                  <c:v>1.1859999999999999</c:v>
                </c:pt>
                <c:pt idx="20">
                  <c:v>1.1910000000000001</c:v>
                </c:pt>
                <c:pt idx="21">
                  <c:v>1.1970000000000001</c:v>
                </c:pt>
                <c:pt idx="22">
                  <c:v>1.2010000000000001</c:v>
                </c:pt>
                <c:pt idx="23">
                  <c:v>1.206</c:v>
                </c:pt>
                <c:pt idx="24">
                  <c:v>1.21</c:v>
                </c:pt>
                <c:pt idx="25">
                  <c:v>1.214</c:v>
                </c:pt>
                <c:pt idx="26">
                  <c:v>1.222</c:v>
                </c:pt>
                <c:pt idx="27">
                  <c:v>1.224</c:v>
                </c:pt>
                <c:pt idx="28">
                  <c:v>1.2270000000000001</c:v>
                </c:pt>
                <c:pt idx="29">
                  <c:v>1.2310000000000001</c:v>
                </c:pt>
                <c:pt idx="30">
                  <c:v>1.2350000000000001</c:v>
                </c:pt>
              </c:numCache>
            </c:numRef>
          </c:yVal>
          <c:extLst xmlns:c16r2="http://schemas.microsoft.com/office/drawing/2015/06/chart">
            <c:ext xmlns:c16="http://schemas.microsoft.com/office/drawing/2014/chart" uri="{C3380CC4-5D6E-409C-BE32-E72D297353CC}">
              <c16:uniqueId val="{00000000-B323-49EA-8D71-BCB178758385}"/>
            </c:ext>
          </c:extLst>
        </c:ser>
        <c:ser>
          <c:idx val="1"/>
          <c:order val="1"/>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vymeniky!$AW$115:$AW$145</c:f>
              <c:numCache>
                <c:formatCode>General</c:formatCode>
                <c:ptCount val="31"/>
                <c:pt idx="0">
                  <c:v>0.91500000000000004</c:v>
                </c:pt>
                <c:pt idx="1">
                  <c:v>0.92300000000000004</c:v>
                </c:pt>
                <c:pt idx="2">
                  <c:v>0.93500000000000005</c:v>
                </c:pt>
                <c:pt idx="3">
                  <c:v>0.95</c:v>
                </c:pt>
                <c:pt idx="4">
                  <c:v>0.96499999999999997</c:v>
                </c:pt>
                <c:pt idx="5">
                  <c:v>0.97899999999999998</c:v>
                </c:pt>
                <c:pt idx="6">
                  <c:v>0.99299999999999999</c:v>
                </c:pt>
                <c:pt idx="7">
                  <c:v>1.0049999999999999</c:v>
                </c:pt>
                <c:pt idx="8">
                  <c:v>1.016</c:v>
                </c:pt>
                <c:pt idx="9">
                  <c:v>1.026</c:v>
                </c:pt>
                <c:pt idx="10">
                  <c:v>1.0349999999999999</c:v>
                </c:pt>
                <c:pt idx="11">
                  <c:v>1.0429999999999999</c:v>
                </c:pt>
                <c:pt idx="12">
                  <c:v>1.0509999999999999</c:v>
                </c:pt>
                <c:pt idx="13">
                  <c:v>1.0580000000000001</c:v>
                </c:pt>
                <c:pt idx="14">
                  <c:v>1.0649999999999999</c:v>
                </c:pt>
                <c:pt idx="15">
                  <c:v>1.071</c:v>
                </c:pt>
                <c:pt idx="16">
                  <c:v>1.077</c:v>
                </c:pt>
                <c:pt idx="17">
                  <c:v>1.083</c:v>
                </c:pt>
                <c:pt idx="18">
                  <c:v>1.089</c:v>
                </c:pt>
                <c:pt idx="19">
                  <c:v>1.0940000000000001</c:v>
                </c:pt>
                <c:pt idx="20">
                  <c:v>1.099</c:v>
                </c:pt>
                <c:pt idx="21">
                  <c:v>1.1040000000000001</c:v>
                </c:pt>
                <c:pt idx="22">
                  <c:v>1.109</c:v>
                </c:pt>
                <c:pt idx="23">
                  <c:v>1.1140000000000001</c:v>
                </c:pt>
                <c:pt idx="24">
                  <c:v>1.1180000000000001</c:v>
                </c:pt>
                <c:pt idx="25">
                  <c:v>1.123</c:v>
                </c:pt>
                <c:pt idx="26">
                  <c:v>1.127</c:v>
                </c:pt>
                <c:pt idx="27">
                  <c:v>1.131</c:v>
                </c:pt>
                <c:pt idx="28">
                  <c:v>1.1339999999999999</c:v>
                </c:pt>
                <c:pt idx="29">
                  <c:v>1.143</c:v>
                </c:pt>
                <c:pt idx="30">
                  <c:v>1.147</c:v>
                </c:pt>
              </c:numCache>
            </c:numRef>
          </c:yVal>
          <c:extLst xmlns:c16r2="http://schemas.microsoft.com/office/drawing/2015/06/chart">
            <c:ext xmlns:c16="http://schemas.microsoft.com/office/drawing/2014/chart" uri="{C3380CC4-5D6E-409C-BE32-E72D297353CC}">
              <c16:uniqueId val="{00000001-B323-49EA-8D71-BCB178758385}"/>
            </c:ext>
          </c:extLst>
        </c:ser>
        <c:ser>
          <c:idx val="2"/>
          <c:order val="2"/>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vymeniky!$AX$115:$AX$145</c:f>
              <c:numCache>
                <c:formatCode>General</c:formatCode>
                <c:ptCount val="31"/>
                <c:pt idx="0">
                  <c:v>1.04</c:v>
                </c:pt>
                <c:pt idx="1">
                  <c:v>1.042</c:v>
                </c:pt>
                <c:pt idx="2">
                  <c:v>1.046</c:v>
                </c:pt>
                <c:pt idx="3">
                  <c:v>1.054</c:v>
                </c:pt>
                <c:pt idx="4">
                  <c:v>1.0629999999999999</c:v>
                </c:pt>
                <c:pt idx="5">
                  <c:v>1.075</c:v>
                </c:pt>
                <c:pt idx="6">
                  <c:v>1.0860000000000001</c:v>
                </c:pt>
                <c:pt idx="7">
                  <c:v>1.0980000000000001</c:v>
                </c:pt>
                <c:pt idx="8">
                  <c:v>1.109</c:v>
                </c:pt>
                <c:pt idx="9">
                  <c:v>1.1200000000000001</c:v>
                </c:pt>
                <c:pt idx="10">
                  <c:v>1.1299999999999999</c:v>
                </c:pt>
                <c:pt idx="11">
                  <c:v>1.1399999999999999</c:v>
                </c:pt>
                <c:pt idx="12">
                  <c:v>1.149</c:v>
                </c:pt>
                <c:pt idx="13">
                  <c:v>1.1579999999999999</c:v>
                </c:pt>
                <c:pt idx="14">
                  <c:v>1.1659999999999999</c:v>
                </c:pt>
                <c:pt idx="15">
                  <c:v>1.173</c:v>
                </c:pt>
                <c:pt idx="16">
                  <c:v>1.18</c:v>
                </c:pt>
                <c:pt idx="17">
                  <c:v>1.1870000000000001</c:v>
                </c:pt>
                <c:pt idx="18">
                  <c:v>1.1919999999999999</c:v>
                </c:pt>
                <c:pt idx="19">
                  <c:v>1.198</c:v>
                </c:pt>
                <c:pt idx="20">
                  <c:v>1.2030000000000001</c:v>
                </c:pt>
                <c:pt idx="21">
                  <c:v>1.208</c:v>
                </c:pt>
                <c:pt idx="22">
                  <c:v>1.2130000000000001</c:v>
                </c:pt>
                <c:pt idx="23">
                  <c:v>1.218</c:v>
                </c:pt>
                <c:pt idx="24">
                  <c:v>1.222</c:v>
                </c:pt>
                <c:pt idx="25">
                  <c:v>1.226</c:v>
                </c:pt>
                <c:pt idx="26">
                  <c:v>1.2310000000000001</c:v>
                </c:pt>
                <c:pt idx="27">
                  <c:v>1.2350000000000001</c:v>
                </c:pt>
                <c:pt idx="28">
                  <c:v>1.238</c:v>
                </c:pt>
                <c:pt idx="29">
                  <c:v>1.24</c:v>
                </c:pt>
                <c:pt idx="30">
                  <c:v>1.2430000000000001</c:v>
                </c:pt>
              </c:numCache>
            </c:numRef>
          </c:yVal>
          <c:extLst xmlns:c16r2="http://schemas.microsoft.com/office/drawing/2015/06/chart">
            <c:ext xmlns:c16="http://schemas.microsoft.com/office/drawing/2014/chart" uri="{C3380CC4-5D6E-409C-BE32-E72D297353CC}">
              <c16:uniqueId val="{00000002-B323-49EA-8D71-BCB178758385}"/>
            </c:ext>
          </c:extLst>
        </c:ser>
        <c:ser>
          <c:idx val="3"/>
          <c:order val="3"/>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vymeniky!$AY$115:$AY$145</c:f>
              <c:numCache>
                <c:formatCode>General</c:formatCode>
                <c:ptCount val="31"/>
                <c:pt idx="0">
                  <c:v>1.859</c:v>
                </c:pt>
                <c:pt idx="1">
                  <c:v>1.893</c:v>
                </c:pt>
                <c:pt idx="2">
                  <c:v>1.8939999999999999</c:v>
                </c:pt>
                <c:pt idx="3">
                  <c:v>1.919</c:v>
                </c:pt>
                <c:pt idx="4">
                  <c:v>1.948</c:v>
                </c:pt>
                <c:pt idx="5">
                  <c:v>1.978</c:v>
                </c:pt>
                <c:pt idx="6">
                  <c:v>2.0089999999999999</c:v>
                </c:pt>
                <c:pt idx="7">
                  <c:v>2.0419999999999998</c:v>
                </c:pt>
                <c:pt idx="8">
                  <c:v>2.0750000000000002</c:v>
                </c:pt>
                <c:pt idx="9">
                  <c:v>2.11</c:v>
                </c:pt>
                <c:pt idx="10">
                  <c:v>2.1139999999999999</c:v>
                </c:pt>
                <c:pt idx="11">
                  <c:v>2.177</c:v>
                </c:pt>
                <c:pt idx="12">
                  <c:v>2.2109999999999999</c:v>
                </c:pt>
                <c:pt idx="13">
                  <c:v>2.2429999999999999</c:v>
                </c:pt>
                <c:pt idx="14">
                  <c:v>2.274</c:v>
                </c:pt>
                <c:pt idx="15">
                  <c:v>2.3050000000000002</c:v>
                </c:pt>
                <c:pt idx="16">
                  <c:v>2.335</c:v>
                </c:pt>
                <c:pt idx="17">
                  <c:v>2.363</c:v>
                </c:pt>
                <c:pt idx="18">
                  <c:v>2.391</c:v>
                </c:pt>
                <c:pt idx="19">
                  <c:v>2.4169999999999998</c:v>
                </c:pt>
                <c:pt idx="20">
                  <c:v>2.4420000000000002</c:v>
                </c:pt>
                <c:pt idx="21">
                  <c:v>2.4660000000000002</c:v>
                </c:pt>
                <c:pt idx="22">
                  <c:v>2.4889999999999999</c:v>
                </c:pt>
                <c:pt idx="23">
                  <c:v>2.512</c:v>
                </c:pt>
                <c:pt idx="24">
                  <c:v>2.5329999999999999</c:v>
                </c:pt>
                <c:pt idx="25">
                  <c:v>2.5539999999999998</c:v>
                </c:pt>
                <c:pt idx="26">
                  <c:v>2.5739999999999998</c:v>
                </c:pt>
                <c:pt idx="27">
                  <c:v>2.5939999999999999</c:v>
                </c:pt>
                <c:pt idx="28">
                  <c:v>2.6120000000000001</c:v>
                </c:pt>
                <c:pt idx="29">
                  <c:v>2.621</c:v>
                </c:pt>
                <c:pt idx="30">
                  <c:v>2.63</c:v>
                </c:pt>
              </c:numCache>
            </c:numRef>
          </c:yVal>
          <c:extLst xmlns:c16r2="http://schemas.microsoft.com/office/drawing/2015/06/chart">
            <c:ext xmlns:c16="http://schemas.microsoft.com/office/drawing/2014/chart" uri="{C3380CC4-5D6E-409C-BE32-E72D297353CC}">
              <c16:uniqueId val="{00000003-B323-49EA-8D71-BCB178758385}"/>
            </c:ext>
          </c:extLst>
        </c:ser>
        <c:ser>
          <c:idx val="4"/>
          <c:order val="4"/>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vymeniky!$AZ$115:$AZ$145</c:f>
              <c:numCache>
                <c:formatCode>General</c:formatCode>
                <c:ptCount val="31"/>
                <c:pt idx="0">
                  <c:v>0.81499999999999995</c:v>
                </c:pt>
                <c:pt idx="1">
                  <c:v>0.86599999999999999</c:v>
                </c:pt>
                <c:pt idx="2">
                  <c:v>0.91</c:v>
                </c:pt>
                <c:pt idx="3">
                  <c:v>0.94899999999999995</c:v>
                </c:pt>
                <c:pt idx="4">
                  <c:v>0.98299999999999998</c:v>
                </c:pt>
                <c:pt idx="5">
                  <c:v>1.0129999999999999</c:v>
                </c:pt>
                <c:pt idx="6">
                  <c:v>1.04</c:v>
                </c:pt>
                <c:pt idx="7">
                  <c:v>1.0640000000000001</c:v>
                </c:pt>
                <c:pt idx="8">
                  <c:v>1.085</c:v>
                </c:pt>
                <c:pt idx="9">
                  <c:v>1.1040000000000001</c:v>
                </c:pt>
                <c:pt idx="10">
                  <c:v>1.1220000000000001</c:v>
                </c:pt>
                <c:pt idx="11">
                  <c:v>1.1379999999999999</c:v>
                </c:pt>
                <c:pt idx="12">
                  <c:v>1.153</c:v>
                </c:pt>
                <c:pt idx="13">
                  <c:v>1.1659999999999999</c:v>
                </c:pt>
                <c:pt idx="14">
                  <c:v>1.1779999999999999</c:v>
                </c:pt>
                <c:pt idx="15">
                  <c:v>1.1890000000000001</c:v>
                </c:pt>
                <c:pt idx="16">
                  <c:v>1.2</c:v>
                </c:pt>
                <c:pt idx="17">
                  <c:v>1.2090000000000001</c:v>
                </c:pt>
                <c:pt idx="18">
                  <c:v>1.218</c:v>
                </c:pt>
                <c:pt idx="19">
                  <c:v>1.226</c:v>
                </c:pt>
                <c:pt idx="20">
                  <c:v>1.2330000000000001</c:v>
                </c:pt>
                <c:pt idx="21">
                  <c:v>1.2410000000000001</c:v>
                </c:pt>
                <c:pt idx="22">
                  <c:v>1.2470000000000001</c:v>
                </c:pt>
                <c:pt idx="23">
                  <c:v>1.2529999999999999</c:v>
                </c:pt>
                <c:pt idx="24">
                  <c:v>1.2589999999999999</c:v>
                </c:pt>
                <c:pt idx="25">
                  <c:v>1.264</c:v>
                </c:pt>
                <c:pt idx="26">
                  <c:v>1.268</c:v>
                </c:pt>
                <c:pt idx="27">
                  <c:v>1.2729999999999999</c:v>
                </c:pt>
                <c:pt idx="28">
                  <c:v>1.2769999999999999</c:v>
                </c:pt>
                <c:pt idx="29">
                  <c:v>1.2809999999999999</c:v>
                </c:pt>
                <c:pt idx="30">
                  <c:v>1.2849999999999999</c:v>
                </c:pt>
              </c:numCache>
            </c:numRef>
          </c:yVal>
          <c:extLst xmlns:c16r2="http://schemas.microsoft.com/office/drawing/2015/06/chart">
            <c:ext xmlns:c16="http://schemas.microsoft.com/office/drawing/2014/chart" uri="{C3380CC4-5D6E-409C-BE32-E72D297353CC}">
              <c16:uniqueId val="{00000004-B323-49EA-8D71-BCB178758385}"/>
            </c:ext>
          </c:extLst>
        </c:ser>
        <c:ser>
          <c:idx val="5"/>
          <c:order val="5"/>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vymeniky!$BA$115:$BA$145</c:f>
              <c:numCache>
                <c:formatCode>General</c:formatCode>
                <c:ptCount val="31"/>
                <c:pt idx="0">
                  <c:v>0.60699999999999998</c:v>
                </c:pt>
                <c:pt idx="1">
                  <c:v>0.63600000000000001</c:v>
                </c:pt>
                <c:pt idx="2">
                  <c:v>0.66200000000000003</c:v>
                </c:pt>
                <c:pt idx="3">
                  <c:v>0.68700000000000006</c:v>
                </c:pt>
                <c:pt idx="4">
                  <c:v>0.70799999999999996</c:v>
                </c:pt>
                <c:pt idx="5">
                  <c:v>0.72399999999999998</c:v>
                </c:pt>
                <c:pt idx="6">
                  <c:v>0.73699999999999999</c:v>
                </c:pt>
                <c:pt idx="7">
                  <c:v>0.754</c:v>
                </c:pt>
                <c:pt idx="8">
                  <c:v>0.76200000000000001</c:v>
                </c:pt>
                <c:pt idx="9">
                  <c:v>0.77500000000000002</c:v>
                </c:pt>
                <c:pt idx="10">
                  <c:v>0.78300000000000003</c:v>
                </c:pt>
                <c:pt idx="11">
                  <c:v>0.79100000000000004</c:v>
                </c:pt>
                <c:pt idx="12">
                  <c:v>0.79500000000000004</c:v>
                </c:pt>
                <c:pt idx="13">
                  <c:v>0.80300000000000005</c:v>
                </c:pt>
                <c:pt idx="14">
                  <c:v>0.81200000000000006</c:v>
                </c:pt>
                <c:pt idx="15">
                  <c:v>0.81599999999999995</c:v>
                </c:pt>
                <c:pt idx="16">
                  <c:v>0.82</c:v>
                </c:pt>
                <c:pt idx="17">
                  <c:v>0.82499999999999996</c:v>
                </c:pt>
                <c:pt idx="18">
                  <c:v>0.82899999999999996</c:v>
                </c:pt>
                <c:pt idx="19">
                  <c:v>0.83099999999999996</c:v>
                </c:pt>
                <c:pt idx="20">
                  <c:v>0.83299999999999996</c:v>
                </c:pt>
                <c:pt idx="21">
                  <c:v>0.83699999999999997</c:v>
                </c:pt>
                <c:pt idx="22">
                  <c:v>0.84099999999999997</c:v>
                </c:pt>
                <c:pt idx="23">
                  <c:v>0.84299999999999997</c:v>
                </c:pt>
                <c:pt idx="24">
                  <c:v>0.84599999999999997</c:v>
                </c:pt>
                <c:pt idx="25">
                  <c:v>0.84899999999999998</c:v>
                </c:pt>
                <c:pt idx="26">
                  <c:v>0.85</c:v>
                </c:pt>
                <c:pt idx="27">
                  <c:v>0.85199999999999998</c:v>
                </c:pt>
                <c:pt idx="28">
                  <c:v>0.85399999999999998</c:v>
                </c:pt>
                <c:pt idx="29">
                  <c:v>0.85399999999999998</c:v>
                </c:pt>
                <c:pt idx="30">
                  <c:v>0.85399999999999998</c:v>
                </c:pt>
              </c:numCache>
            </c:numRef>
          </c:yVal>
          <c:extLst xmlns:c16r2="http://schemas.microsoft.com/office/drawing/2015/06/chart">
            <c:ext xmlns:c16="http://schemas.microsoft.com/office/drawing/2014/chart" uri="{C3380CC4-5D6E-409C-BE32-E72D297353CC}">
              <c16:uniqueId val="{00000005-B323-49EA-8D71-BCB178758385}"/>
            </c:ext>
          </c:extLst>
        </c:ser>
        <c:ser>
          <c:idx val="6"/>
          <c:order val="6"/>
          <c:marker>
            <c:symbol val="none"/>
          </c:marker>
          <c:xVal>
            <c:numRef>
              <c:f>vymeniky!$AT$115:$AT$145</c:f>
              <c:numCache>
                <c:formatCode>General</c:formatCode>
                <c:ptCount val="3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numCache>
            </c:numRef>
          </c:xVal>
          <c:yVal>
            <c:numRef>
              <c:f>vymeniky!$BB$115:$BB$145</c:f>
              <c:numCache>
                <c:formatCode>General</c:formatCode>
                <c:ptCount val="31"/>
                <c:pt idx="0">
                  <c:v>1.0049999999999999</c:v>
                </c:pt>
                <c:pt idx="1">
                  <c:v>1.0049999999999999</c:v>
                </c:pt>
                <c:pt idx="2">
                  <c:v>1.0129999999999999</c:v>
                </c:pt>
                <c:pt idx="3">
                  <c:v>1.022</c:v>
                </c:pt>
                <c:pt idx="4">
                  <c:v>1.03</c:v>
                </c:pt>
                <c:pt idx="5">
                  <c:v>1.042</c:v>
                </c:pt>
                <c:pt idx="6">
                  <c:v>1.0509999999999999</c:v>
                </c:pt>
                <c:pt idx="7">
                  <c:v>1.0589999999999999</c:v>
                </c:pt>
                <c:pt idx="8">
                  <c:v>1.0720000000000001</c:v>
                </c:pt>
                <c:pt idx="9">
                  <c:v>1.0840000000000001</c:v>
                </c:pt>
                <c:pt idx="10">
                  <c:v>1.093</c:v>
                </c:pt>
                <c:pt idx="11">
                  <c:v>1.101</c:v>
                </c:pt>
                <c:pt idx="12">
                  <c:v>1.109</c:v>
                </c:pt>
                <c:pt idx="13">
                  <c:v>1.1180000000000001</c:v>
                </c:pt>
                <c:pt idx="14">
                  <c:v>1.1259999999999999</c:v>
                </c:pt>
                <c:pt idx="15">
                  <c:v>1.135</c:v>
                </c:pt>
                <c:pt idx="16">
                  <c:v>1.139</c:v>
                </c:pt>
                <c:pt idx="17">
                  <c:v>1.143</c:v>
                </c:pt>
                <c:pt idx="18">
                  <c:v>1.151</c:v>
                </c:pt>
                <c:pt idx="19">
                  <c:v>1.157</c:v>
                </c:pt>
                <c:pt idx="20">
                  <c:v>1.1599999999999999</c:v>
                </c:pt>
                <c:pt idx="21">
                  <c:v>1.1639999999999999</c:v>
                </c:pt>
                <c:pt idx="22">
                  <c:v>1.1679999999999999</c:v>
                </c:pt>
                <c:pt idx="23">
                  <c:v>1.1719999999999999</c:v>
                </c:pt>
                <c:pt idx="24">
                  <c:v>1.1759999999999999</c:v>
                </c:pt>
                <c:pt idx="25">
                  <c:v>1.181</c:v>
                </c:pt>
                <c:pt idx="26">
                  <c:v>1.1850000000000001</c:v>
                </c:pt>
                <c:pt idx="27">
                  <c:v>1.1890000000000001</c:v>
                </c:pt>
                <c:pt idx="28">
                  <c:v>1.1930000000000001</c:v>
                </c:pt>
                <c:pt idx="29">
                  <c:v>1.196</c:v>
                </c:pt>
                <c:pt idx="30">
                  <c:v>1.1970000000000001</c:v>
                </c:pt>
              </c:numCache>
            </c:numRef>
          </c:yVal>
          <c:extLst xmlns:c16r2="http://schemas.microsoft.com/office/drawing/2015/06/chart">
            <c:ext xmlns:c16="http://schemas.microsoft.com/office/drawing/2014/chart" uri="{C3380CC4-5D6E-409C-BE32-E72D297353CC}">
              <c16:uniqueId val="{00000006-B323-49EA-8D71-BCB178758385}"/>
            </c:ext>
          </c:extLst>
        </c:ser>
        <c:axId val="158125440"/>
        <c:axId val="158143616"/>
      </c:scatterChart>
      <c:valAx>
        <c:axId val="158125440"/>
        <c:scaling>
          <c:orientation val="minMax"/>
        </c:scaling>
        <c:axPos val="b"/>
        <c:numFmt formatCode="General" sourceLinked="1"/>
        <c:tickLblPos val="nextTo"/>
        <c:crossAx val="158143616"/>
        <c:crosses val="autoZero"/>
        <c:crossBetween val="midCat"/>
      </c:valAx>
      <c:valAx>
        <c:axId val="158143616"/>
        <c:scaling>
          <c:orientation val="minMax"/>
        </c:scaling>
        <c:axPos val="l"/>
        <c:majorGridlines/>
        <c:numFmt formatCode="General" sourceLinked="1"/>
        <c:tickLblPos val="nextTo"/>
        <c:crossAx val="158125440"/>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vymeniky!$A$189:$A$199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vymeniky!$C$189:$C$199</c:f>
              <c:numCache>
                <c:formatCode>General</c:formatCode>
                <c:ptCount val="11"/>
                <c:pt idx="0">
                  <c:v>70</c:v>
                </c:pt>
                <c:pt idx="1">
                  <c:v>69.345238095238102</c:v>
                </c:pt>
                <c:pt idx="2">
                  <c:v>68.599537037037038</c:v>
                </c:pt>
                <c:pt idx="3">
                  <c:v>67.75026638741916</c:v>
                </c:pt>
                <c:pt idx="4">
                  <c:v>66.783041480909915</c:v>
                </c:pt>
                <c:pt idx="5">
                  <c:v>65.68147978182995</c:v>
                </c:pt>
                <c:pt idx="6">
                  <c:v>64.426923402322203</c:v>
                </c:pt>
                <c:pt idx="7">
                  <c:v>62.998123081216157</c:v>
                </c:pt>
                <c:pt idx="8">
                  <c:v>61.37087827106761</c:v>
                </c:pt>
                <c:pt idx="9">
                  <c:v>59.517627237287321</c:v>
                </c:pt>
                <c:pt idx="10">
                  <c:v>57.406980226593099</c:v>
                </c:pt>
              </c:numCache>
            </c:numRef>
          </c:yVal>
          <c:extLst xmlns:c16r2="http://schemas.microsoft.com/office/drawing/2015/06/chart">
            <c:ext xmlns:c16="http://schemas.microsoft.com/office/drawing/2014/chart" uri="{C3380CC4-5D6E-409C-BE32-E72D297353CC}">
              <c16:uniqueId val="{00000000-F92D-4374-A614-BF4E935264E2}"/>
            </c:ext>
          </c:extLst>
        </c:ser>
        <c:ser>
          <c:idx val="3"/>
          <c:order val="1"/>
          <c:xVal>
            <c:numRef>
              <c:f>vymeniky!$A$189:$A$199</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vymeniky!$F$189:$F$199</c:f>
              <c:numCache>
                <c:formatCode>General</c:formatCode>
                <c:ptCount val="11"/>
                <c:pt idx="0">
                  <c:v>59</c:v>
                </c:pt>
                <c:pt idx="1">
                  <c:v>56.817460317460316</c:v>
                </c:pt>
                <c:pt idx="2">
                  <c:v>54.331790123456784</c:v>
                </c:pt>
                <c:pt idx="3">
                  <c:v>51.500887958063878</c:v>
                </c:pt>
                <c:pt idx="4">
                  <c:v>48.276804936366403</c:v>
                </c:pt>
                <c:pt idx="5">
                  <c:v>44.604932606099837</c:v>
                </c:pt>
                <c:pt idx="6">
                  <c:v>40.423078007740685</c:v>
                </c:pt>
                <c:pt idx="7">
                  <c:v>35.66041027072054</c:v>
                </c:pt>
                <c:pt idx="8">
                  <c:v>30.236260903558712</c:v>
                </c:pt>
                <c:pt idx="9">
                  <c:v>24.058757457624406</c:v>
                </c:pt>
                <c:pt idx="10">
                  <c:v>17.023267421977003</c:v>
                </c:pt>
              </c:numCache>
            </c:numRef>
          </c:yVal>
          <c:extLst xmlns:c16r2="http://schemas.microsoft.com/office/drawing/2015/06/chart">
            <c:ext xmlns:c16="http://schemas.microsoft.com/office/drawing/2014/chart" uri="{C3380CC4-5D6E-409C-BE32-E72D297353CC}">
              <c16:uniqueId val="{00000001-F92D-4374-A614-BF4E935264E2}"/>
            </c:ext>
          </c:extLst>
        </c:ser>
        <c:axId val="158171904"/>
        <c:axId val="158173440"/>
      </c:scatterChart>
      <c:valAx>
        <c:axId val="158171904"/>
        <c:scaling>
          <c:orientation val="minMax"/>
        </c:scaling>
        <c:axPos val="b"/>
        <c:numFmt formatCode="General" sourceLinked="1"/>
        <c:tickLblPos val="nextTo"/>
        <c:crossAx val="158173440"/>
        <c:crosses val="autoZero"/>
        <c:crossBetween val="midCat"/>
      </c:valAx>
      <c:valAx>
        <c:axId val="158173440"/>
        <c:scaling>
          <c:orientation val="minMax"/>
        </c:scaling>
        <c:axPos val="l"/>
        <c:majorGridlines/>
        <c:numFmt formatCode="General" sourceLinked="1"/>
        <c:tickLblPos val="nextTo"/>
        <c:crossAx val="15817190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swep!$R$11:$R$18</c:f>
              <c:numCache>
                <c:formatCode>General</c:formatCode>
                <c:ptCount val="8"/>
                <c:pt idx="0">
                  <c:v>1.5714285714285712</c:v>
                </c:pt>
                <c:pt idx="1">
                  <c:v>1.5909090909090913</c:v>
                </c:pt>
                <c:pt idx="2">
                  <c:v>1.5882352941176467</c:v>
                </c:pt>
                <c:pt idx="3">
                  <c:v>1.5161290322580645</c:v>
                </c:pt>
                <c:pt idx="4">
                  <c:v>1.531914893617021</c:v>
                </c:pt>
                <c:pt idx="5">
                  <c:v>1.5166666666666668</c:v>
                </c:pt>
                <c:pt idx="6">
                  <c:v>1.4727272727272727</c:v>
                </c:pt>
                <c:pt idx="7">
                  <c:v>1.5</c:v>
                </c:pt>
              </c:numCache>
            </c:numRef>
          </c:val>
          <c:extLst xmlns:c16r2="http://schemas.microsoft.com/office/drawing/2015/06/chart">
            <c:ext xmlns:c16="http://schemas.microsoft.com/office/drawing/2014/chart" uri="{C3380CC4-5D6E-409C-BE32-E72D297353CC}">
              <c16:uniqueId val="{00000000-53C2-48DD-938E-18ABCCC9B84A}"/>
            </c:ext>
          </c:extLst>
        </c:ser>
        <c:ser>
          <c:idx val="1"/>
          <c:order val="1"/>
          <c:val>
            <c:numRef>
              <c:f>swep!$S$11:$S$18</c:f>
              <c:numCache>
                <c:formatCode>General</c:formatCode>
                <c:ptCount val="8"/>
                <c:pt idx="0">
                  <c:v>0.40178571428571425</c:v>
                </c:pt>
                <c:pt idx="1">
                  <c:v>0.42613636363636359</c:v>
                </c:pt>
                <c:pt idx="2">
                  <c:v>0.44117647058823523</c:v>
                </c:pt>
                <c:pt idx="3">
                  <c:v>0.5</c:v>
                </c:pt>
                <c:pt idx="4">
                  <c:v>0.49202127659574474</c:v>
                </c:pt>
                <c:pt idx="5">
                  <c:v>0.50416666666666665</c:v>
                </c:pt>
                <c:pt idx="6">
                  <c:v>0.44318181818181818</c:v>
                </c:pt>
                <c:pt idx="7">
                  <c:v>0.42279411764705882</c:v>
                </c:pt>
              </c:numCache>
            </c:numRef>
          </c:val>
          <c:extLst xmlns:c16r2="http://schemas.microsoft.com/office/drawing/2015/06/chart">
            <c:ext xmlns:c16="http://schemas.microsoft.com/office/drawing/2014/chart" uri="{C3380CC4-5D6E-409C-BE32-E72D297353CC}">
              <c16:uniqueId val="{00000001-53C2-48DD-938E-18ABCCC9B84A}"/>
            </c:ext>
          </c:extLst>
        </c:ser>
        <c:axId val="158249344"/>
        <c:axId val="158250880"/>
      </c:barChart>
      <c:catAx>
        <c:axId val="158249344"/>
        <c:scaling>
          <c:orientation val="minMax"/>
        </c:scaling>
        <c:axPos val="b"/>
        <c:tickLblPos val="nextTo"/>
        <c:crossAx val="158250880"/>
        <c:crosses val="autoZero"/>
        <c:auto val="1"/>
        <c:lblAlgn val="ctr"/>
        <c:lblOffset val="100"/>
      </c:catAx>
      <c:valAx>
        <c:axId val="158250880"/>
        <c:scaling>
          <c:orientation val="minMax"/>
        </c:scaling>
        <c:axPos val="l"/>
        <c:majorGridlines/>
        <c:numFmt formatCode="General" sourceLinked="1"/>
        <c:tickLblPos val="nextTo"/>
        <c:crossAx val="158249344"/>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swep!$F$31:$J$31</c:f>
              <c:numCache>
                <c:formatCode>General</c:formatCode>
                <c:ptCount val="5"/>
                <c:pt idx="0">
                  <c:v>4.4450000000000003</c:v>
                </c:pt>
                <c:pt idx="1">
                  <c:v>2.7377777777777781</c:v>
                </c:pt>
                <c:pt idx="2">
                  <c:v>2.0700000000000003</c:v>
                </c:pt>
                <c:pt idx="3">
                  <c:v>2.7095121951219516</c:v>
                </c:pt>
                <c:pt idx="4">
                  <c:v>1.6947368421052633</c:v>
                </c:pt>
              </c:numCache>
            </c:numRef>
          </c:val>
          <c:extLst xmlns:c16r2="http://schemas.microsoft.com/office/drawing/2015/06/chart">
            <c:ext xmlns:c16="http://schemas.microsoft.com/office/drawing/2014/chart" uri="{C3380CC4-5D6E-409C-BE32-E72D297353CC}">
              <c16:uniqueId val="{00000000-1CF4-47EF-928D-0ABB17349C79}"/>
            </c:ext>
          </c:extLst>
        </c:ser>
        <c:ser>
          <c:idx val="1"/>
          <c:order val="1"/>
          <c:val>
            <c:numRef>
              <c:f>swep!$F$32:$J$32</c:f>
              <c:numCache>
                <c:formatCode>General</c:formatCode>
                <c:ptCount val="5"/>
                <c:pt idx="0">
                  <c:v>4.7950000000000008</c:v>
                </c:pt>
                <c:pt idx="1">
                  <c:v>2.9555555555555553</c:v>
                </c:pt>
                <c:pt idx="2">
                  <c:v>2.2300000000000004</c:v>
                </c:pt>
                <c:pt idx="3">
                  <c:v>2.919512195121952</c:v>
                </c:pt>
                <c:pt idx="4">
                  <c:v>1.8273684210526318</c:v>
                </c:pt>
              </c:numCache>
            </c:numRef>
          </c:val>
          <c:extLst xmlns:c16r2="http://schemas.microsoft.com/office/drawing/2015/06/chart">
            <c:ext xmlns:c16="http://schemas.microsoft.com/office/drawing/2014/chart" uri="{C3380CC4-5D6E-409C-BE32-E72D297353CC}">
              <c16:uniqueId val="{00000001-1CF4-47EF-928D-0ABB17349C79}"/>
            </c:ext>
          </c:extLst>
        </c:ser>
        <c:ser>
          <c:idx val="2"/>
          <c:order val="2"/>
          <c:val>
            <c:numRef>
              <c:f>swep!$F$33:$J$33</c:f>
              <c:numCache>
                <c:formatCode>General</c:formatCode>
                <c:ptCount val="5"/>
                <c:pt idx="0">
                  <c:v>6.6675000000000004</c:v>
                </c:pt>
                <c:pt idx="1">
                  <c:v>4.1766666666666667</c:v>
                </c:pt>
                <c:pt idx="2">
                  <c:v>3.1750000000000003</c:v>
                </c:pt>
                <c:pt idx="3">
                  <c:v>4.1282926829268298</c:v>
                </c:pt>
                <c:pt idx="4">
                  <c:v>2.6121052631578952</c:v>
                </c:pt>
              </c:numCache>
            </c:numRef>
          </c:val>
          <c:extLst xmlns:c16r2="http://schemas.microsoft.com/office/drawing/2015/06/chart">
            <c:ext xmlns:c16="http://schemas.microsoft.com/office/drawing/2014/chart" uri="{C3380CC4-5D6E-409C-BE32-E72D297353CC}">
              <c16:uniqueId val="{00000002-1CF4-47EF-928D-0ABB17349C79}"/>
            </c:ext>
          </c:extLst>
        </c:ser>
        <c:ser>
          <c:idx val="3"/>
          <c:order val="3"/>
          <c:val>
            <c:numRef>
              <c:f>swep!$F$34:$J$34</c:f>
              <c:numCache>
                <c:formatCode>General</c:formatCode>
                <c:ptCount val="5"/>
                <c:pt idx="0">
                  <c:v>7.2100000000000017</c:v>
                </c:pt>
                <c:pt idx="1">
                  <c:v>4.5266666666666673</c:v>
                </c:pt>
                <c:pt idx="2">
                  <c:v>3.4400000000000004</c:v>
                </c:pt>
                <c:pt idx="3">
                  <c:v>4.4765853658536594</c:v>
                </c:pt>
                <c:pt idx="4">
                  <c:v>2.8294736842105266</c:v>
                </c:pt>
              </c:numCache>
            </c:numRef>
          </c:val>
          <c:extLst xmlns:c16r2="http://schemas.microsoft.com/office/drawing/2015/06/chart">
            <c:ext xmlns:c16="http://schemas.microsoft.com/office/drawing/2014/chart" uri="{C3380CC4-5D6E-409C-BE32-E72D297353CC}">
              <c16:uniqueId val="{00000003-1CF4-47EF-928D-0ABB17349C79}"/>
            </c:ext>
          </c:extLst>
        </c:ser>
        <c:axId val="158309376"/>
        <c:axId val="158319360"/>
      </c:barChart>
      <c:catAx>
        <c:axId val="158309376"/>
        <c:scaling>
          <c:orientation val="minMax"/>
        </c:scaling>
        <c:axPos val="b"/>
        <c:tickLblPos val="nextTo"/>
        <c:crossAx val="158319360"/>
        <c:crosses val="autoZero"/>
        <c:auto val="1"/>
        <c:lblAlgn val="ctr"/>
        <c:lblOffset val="100"/>
      </c:catAx>
      <c:valAx>
        <c:axId val="158319360"/>
        <c:scaling>
          <c:orientation val="minMax"/>
        </c:scaling>
        <c:axPos val="l"/>
        <c:majorGridlines/>
        <c:numFmt formatCode="General" sourceLinked="1"/>
        <c:tickLblPos val="nextTo"/>
        <c:crossAx val="158309376"/>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'10 těles'!$AZ$20:$AZ$26</c:f>
              <c:numCache>
                <c:formatCode>General</c:formatCode>
                <c:ptCount val="7"/>
                <c:pt idx="0">
                  <c:v>0.5</c:v>
                </c:pt>
                <c:pt idx="1">
                  <c:v>1.5</c:v>
                </c:pt>
                <c:pt idx="2">
                  <c:v>2.5</c:v>
                </c:pt>
                <c:pt idx="3">
                  <c:v>3.5</c:v>
                </c:pt>
                <c:pt idx="4">
                  <c:v>4.5</c:v>
                </c:pt>
                <c:pt idx="5">
                  <c:v>5.5</c:v>
                </c:pt>
                <c:pt idx="6">
                  <c:v>6.5</c:v>
                </c:pt>
              </c:numCache>
            </c:numRef>
          </c:xVal>
          <c:yVal>
            <c:numRef>
              <c:f>'10 těles'!$BG$20:$BG$26</c:f>
              <c:numCache>
                <c:formatCode>General</c:formatCode>
                <c:ptCount val="7"/>
                <c:pt idx="0">
                  <c:v>6.466503622069153E-2</c:v>
                </c:pt>
                <c:pt idx="1">
                  <c:v>-0.11752453534835583</c:v>
                </c:pt>
                <c:pt idx="2">
                  <c:v>4.6348036422558359E-2</c:v>
                </c:pt>
                <c:pt idx="3">
                  <c:v>-1.7181460354835476E-2</c:v>
                </c:pt>
                <c:pt idx="4">
                  <c:v>7.7345884307822743E-2</c:v>
                </c:pt>
                <c:pt idx="5">
                  <c:v>-2.4222747774866882E-2</c:v>
                </c:pt>
                <c:pt idx="6">
                  <c:v>-0.11740898278730771</c:v>
                </c:pt>
              </c:numCache>
            </c:numRef>
          </c:yVal>
          <c:extLst xmlns:c16r2="http://schemas.microsoft.com/office/drawing/2015/06/chart">
            <c:ext xmlns:c16="http://schemas.microsoft.com/office/drawing/2014/chart" uri="{C3380CC4-5D6E-409C-BE32-E72D297353CC}">
              <c16:uniqueId val="{00000000-F9DE-4A44-9FB9-0AA315E7C86B}"/>
            </c:ext>
          </c:extLst>
        </c:ser>
        <c:ser>
          <c:idx val="1"/>
          <c:order val="1"/>
          <c:xVal>
            <c:numRef>
              <c:f>'10 těles'!$AZ$20:$AZ$26</c:f>
              <c:numCache>
                <c:formatCode>General</c:formatCode>
                <c:ptCount val="7"/>
                <c:pt idx="0">
                  <c:v>0.5</c:v>
                </c:pt>
                <c:pt idx="1">
                  <c:v>1.5</c:v>
                </c:pt>
                <c:pt idx="2">
                  <c:v>2.5</c:v>
                </c:pt>
                <c:pt idx="3">
                  <c:v>3.5</c:v>
                </c:pt>
                <c:pt idx="4">
                  <c:v>4.5</c:v>
                </c:pt>
                <c:pt idx="5">
                  <c:v>5.5</c:v>
                </c:pt>
                <c:pt idx="6">
                  <c:v>6.5</c:v>
                </c:pt>
              </c:numCache>
            </c:numRef>
          </c:xVal>
          <c:yVal>
            <c:numRef>
              <c:f>'10 těles'!$BH$20:$BH$26</c:f>
              <c:numCache>
                <c:formatCode>General</c:formatCode>
                <c:ptCount val="7"/>
                <c:pt idx="0">
                  <c:v>9.8691685315934752E-2</c:v>
                </c:pt>
                <c:pt idx="1">
                  <c:v>-0.13104438228923687</c:v>
                </c:pt>
                <c:pt idx="2">
                  <c:v>9.0553619805883834E-2</c:v>
                </c:pt>
                <c:pt idx="3">
                  <c:v>1.7766383593009749E-4</c:v>
                </c:pt>
                <c:pt idx="4">
                  <c:v>7.6869810215018042E-2</c:v>
                </c:pt>
                <c:pt idx="5">
                  <c:v>-1.3770787395273487E-2</c:v>
                </c:pt>
                <c:pt idx="6">
                  <c:v>-0.12298406265986017</c:v>
                </c:pt>
              </c:numCache>
            </c:numRef>
          </c:yVal>
          <c:extLst xmlns:c16r2="http://schemas.microsoft.com/office/drawing/2015/06/chart">
            <c:ext xmlns:c16="http://schemas.microsoft.com/office/drawing/2014/chart" uri="{C3380CC4-5D6E-409C-BE32-E72D297353CC}">
              <c16:uniqueId val="{00000001-F9DE-4A44-9FB9-0AA315E7C86B}"/>
            </c:ext>
          </c:extLst>
        </c:ser>
        <c:axId val="151175168"/>
        <c:axId val="151176704"/>
      </c:scatterChart>
      <c:valAx>
        <c:axId val="151175168"/>
        <c:scaling>
          <c:orientation val="minMax"/>
        </c:scaling>
        <c:axPos val="b"/>
        <c:numFmt formatCode="General" sourceLinked="1"/>
        <c:tickLblPos val="nextTo"/>
        <c:crossAx val="151176704"/>
        <c:crosses val="autoZero"/>
        <c:crossBetween val="midCat"/>
      </c:valAx>
      <c:valAx>
        <c:axId val="151176704"/>
        <c:scaling>
          <c:orientation val="minMax"/>
        </c:scaling>
        <c:axPos val="l"/>
        <c:majorGridlines/>
        <c:numFmt formatCode="General" sourceLinked="1"/>
        <c:tickLblPos val="nextTo"/>
        <c:crossAx val="151175168"/>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swep!$L$48:$L$58</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swep!$N$48:$N$58</c:f>
              <c:numCache>
                <c:formatCode>General</c:formatCode>
                <c:ptCount val="11"/>
                <c:pt idx="0">
                  <c:v>80</c:v>
                </c:pt>
                <c:pt idx="1">
                  <c:v>75.464285714285708</c:v>
                </c:pt>
                <c:pt idx="2">
                  <c:v>70.99091295609152</c:v>
                </c:pt>
                <c:pt idx="3">
                  <c:v>66.579024866759966</c:v>
                </c:pt>
                <c:pt idx="4">
                  <c:v>62.227776364803418</c:v>
                </c:pt>
                <c:pt idx="5">
                  <c:v>57.936333984031769</c:v>
                </c:pt>
                <c:pt idx="6">
                  <c:v>53.703875713904928</c:v>
                </c:pt>
                <c:pt idx="7">
                  <c:v>49.529590842079614</c:v>
                </c:pt>
                <c:pt idx="8">
                  <c:v>45.412679799120298</c:v>
                </c:pt>
                <c:pt idx="9">
                  <c:v>41.352354005344509</c:v>
                </c:pt>
                <c:pt idx="10">
                  <c:v>37.347835719773215</c:v>
                </c:pt>
              </c:numCache>
            </c:numRef>
          </c:yVal>
          <c:extLst xmlns:c16r2="http://schemas.microsoft.com/office/drawing/2015/06/chart">
            <c:ext xmlns:c16="http://schemas.microsoft.com/office/drawing/2014/chart" uri="{C3380CC4-5D6E-409C-BE32-E72D297353CC}">
              <c16:uniqueId val="{00000000-AB2D-4DC9-9A0F-E67D9FBEF006}"/>
            </c:ext>
          </c:extLst>
        </c:ser>
        <c:ser>
          <c:idx val="3"/>
          <c:order val="1"/>
          <c:xVal>
            <c:numRef>
              <c:f>swep!$L$48:$L$58</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swep!$Q$48:$Q$58</c:f>
              <c:numCache>
                <c:formatCode>General</c:formatCode>
                <c:ptCount val="11"/>
                <c:pt idx="0">
                  <c:v>50</c:v>
                </c:pt>
                <c:pt idx="1">
                  <c:v>45.876623376623378</c:v>
                </c:pt>
                <c:pt idx="2">
                  <c:v>41.809920869174121</c:v>
                </c:pt>
                <c:pt idx="3">
                  <c:v>37.799113515236343</c:v>
                </c:pt>
                <c:pt idx="4">
                  <c:v>33.843433058912211</c:v>
                </c:pt>
                <c:pt idx="5">
                  <c:v>29.942121803665259</c:v>
                </c:pt>
                <c:pt idx="6">
                  <c:v>26.094432467186312</c:v>
                </c:pt>
                <c:pt idx="7">
                  <c:v>22.299628038254209</c:v>
                </c:pt>
                <c:pt idx="8">
                  <c:v>18.556981635563922</c:v>
                </c:pt>
                <c:pt idx="9">
                  <c:v>14.865776368495027</c:v>
                </c:pt>
                <c:pt idx="10">
                  <c:v>11.225305199793855</c:v>
                </c:pt>
              </c:numCache>
            </c:numRef>
          </c:yVal>
          <c:extLst xmlns:c16r2="http://schemas.microsoft.com/office/drawing/2015/06/chart">
            <c:ext xmlns:c16="http://schemas.microsoft.com/office/drawing/2014/chart" uri="{C3380CC4-5D6E-409C-BE32-E72D297353CC}">
              <c16:uniqueId val="{00000001-AB2D-4DC9-9A0F-E67D9FBEF006}"/>
            </c:ext>
          </c:extLst>
        </c:ser>
        <c:axId val="158339456"/>
        <c:axId val="158340992"/>
      </c:scatterChart>
      <c:valAx>
        <c:axId val="158339456"/>
        <c:scaling>
          <c:orientation val="minMax"/>
        </c:scaling>
        <c:axPos val="b"/>
        <c:numFmt formatCode="General" sourceLinked="1"/>
        <c:tickLblPos val="nextTo"/>
        <c:crossAx val="158340992"/>
        <c:crosses val="autoZero"/>
        <c:crossBetween val="midCat"/>
      </c:valAx>
      <c:valAx>
        <c:axId val="158340992"/>
        <c:scaling>
          <c:orientation val="minMax"/>
        </c:scaling>
        <c:axPos val="l"/>
        <c:majorGridlines/>
        <c:numFmt formatCode="General" sourceLinked="1"/>
        <c:tickLblPos val="nextTo"/>
        <c:crossAx val="15833945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'voda teplota varu'!$A$50:$A$80</c:f>
              <c:numCache>
                <c:formatCode>General</c:formatCode>
                <c:ptCount val="31"/>
                <c:pt idx="0">
                  <c:v>0.05</c:v>
                </c:pt>
                <c:pt idx="1">
                  <c:v>7.0000000000000007E-2</c:v>
                </c:pt>
                <c:pt idx="2">
                  <c:v>0.09</c:v>
                </c:pt>
                <c:pt idx="3">
                  <c:v>0.1</c:v>
                </c:pt>
                <c:pt idx="5">
                  <c:v>1.5730000000000001E-2</c:v>
                </c:pt>
                <c:pt idx="6">
                  <c:v>1.2330000000000001E-2</c:v>
                </c:pt>
                <c:pt idx="7">
                  <c:v>9.5790000000000007E-3</c:v>
                </c:pt>
                <c:pt idx="8">
                  <c:v>7.3749999999999996E-3</c:v>
                </c:pt>
                <c:pt idx="9">
                  <c:v>5.6239999999999997E-3</c:v>
                </c:pt>
                <c:pt idx="10">
                  <c:v>4.2449999999999996E-3</c:v>
                </c:pt>
                <c:pt idx="11">
                  <c:v>3.1689999999999999E-3</c:v>
                </c:pt>
                <c:pt idx="12">
                  <c:v>2.3400000000000001E-3</c:v>
                </c:pt>
                <c:pt idx="13">
                  <c:v>1.7060000000000001E-3</c:v>
                </c:pt>
                <c:pt idx="14">
                  <c:v>1.2290000000000001E-3</c:v>
                </c:pt>
                <c:pt idx="15">
                  <c:v>8.7299999999999997E-4</c:v>
                </c:pt>
                <c:pt idx="16">
                  <c:v>6.11E-4</c:v>
                </c:pt>
                <c:pt idx="17">
                  <c:v>4.0099999999999999E-4</c:v>
                </c:pt>
                <c:pt idx="18">
                  <c:v>2.5999999999999998E-4</c:v>
                </c:pt>
                <c:pt idx="20">
                  <c:v>6.1284000000000002E-4</c:v>
                </c:pt>
                <c:pt idx="21">
                  <c:v>1.23515E-3</c:v>
                </c:pt>
                <c:pt idx="22">
                  <c:v>2.3622600000000001E-3</c:v>
                </c:pt>
                <c:pt idx="23">
                  <c:v>4.3169699999999998E-3</c:v>
                </c:pt>
                <c:pt idx="24">
                  <c:v>7.6860800000000005E-3</c:v>
                </c:pt>
                <c:pt idx="25">
                  <c:v>1.332039E-2</c:v>
                </c:pt>
                <c:pt idx="26">
                  <c:v>2.2334699999999999E-2</c:v>
                </c:pt>
                <c:pt idx="27">
                  <c:v>3.6107809999999997E-2</c:v>
                </c:pt>
                <c:pt idx="28">
                  <c:v>5.6282520000000003E-2</c:v>
                </c:pt>
                <c:pt idx="29">
                  <c:v>8.4765629999999995E-2</c:v>
                </c:pt>
                <c:pt idx="30">
                  <c:v>0.12372793999999999</c:v>
                </c:pt>
              </c:numCache>
            </c:numRef>
          </c:xVal>
          <c:yVal>
            <c:numRef>
              <c:f>'voda teplota varu'!$B$50:$B$80</c:f>
              <c:numCache>
                <c:formatCode>General</c:formatCode>
                <c:ptCount val="31"/>
                <c:pt idx="0">
                  <c:v>81.34</c:v>
                </c:pt>
                <c:pt idx="1">
                  <c:v>89.96</c:v>
                </c:pt>
                <c:pt idx="2">
                  <c:v>96.71</c:v>
                </c:pt>
                <c:pt idx="3">
                  <c:v>99.63</c:v>
                </c:pt>
                <c:pt idx="5">
                  <c:v>55</c:v>
                </c:pt>
                <c:pt idx="6">
                  <c:v>50</c:v>
                </c:pt>
                <c:pt idx="7">
                  <c:v>45</c:v>
                </c:pt>
                <c:pt idx="8">
                  <c:v>40</c:v>
                </c:pt>
                <c:pt idx="9">
                  <c:v>35</c:v>
                </c:pt>
                <c:pt idx="10">
                  <c:v>30</c:v>
                </c:pt>
                <c:pt idx="11">
                  <c:v>25</c:v>
                </c:pt>
                <c:pt idx="12">
                  <c:v>20</c:v>
                </c:pt>
                <c:pt idx="13">
                  <c:v>15</c:v>
                </c:pt>
                <c:pt idx="14">
                  <c:v>10</c:v>
                </c:pt>
                <c:pt idx="15">
                  <c:v>5</c:v>
                </c:pt>
                <c:pt idx="16">
                  <c:v>0</c:v>
                </c:pt>
                <c:pt idx="17">
                  <c:v>-5</c:v>
                </c:pt>
                <c:pt idx="18">
                  <c:v>-10</c:v>
                </c:pt>
                <c:pt idx="20">
                  <c:v>0</c:v>
                </c:pt>
                <c:pt idx="21">
                  <c:v>10</c:v>
                </c:pt>
                <c:pt idx="22">
                  <c:v>20</c:v>
                </c:pt>
                <c:pt idx="23">
                  <c:v>30</c:v>
                </c:pt>
                <c:pt idx="24">
                  <c:v>40</c:v>
                </c:pt>
                <c:pt idx="25">
                  <c:v>50</c:v>
                </c:pt>
                <c:pt idx="26">
                  <c:v>60</c:v>
                </c:pt>
                <c:pt idx="27">
                  <c:v>70</c:v>
                </c:pt>
                <c:pt idx="28">
                  <c:v>80</c:v>
                </c:pt>
                <c:pt idx="29">
                  <c:v>90</c:v>
                </c:pt>
                <c:pt idx="30">
                  <c:v>100</c:v>
                </c:pt>
              </c:numCache>
            </c:numRef>
          </c:yVal>
          <c:extLst xmlns:c16r2="http://schemas.microsoft.com/office/drawing/2015/06/chart">
            <c:ext xmlns:c16="http://schemas.microsoft.com/office/drawing/2014/chart" uri="{C3380CC4-5D6E-409C-BE32-E72D297353CC}">
              <c16:uniqueId val="{00000000-263B-4DB7-A74B-B9A59FAE1689}"/>
            </c:ext>
          </c:extLst>
        </c:ser>
        <c:axId val="158381568"/>
        <c:axId val="158383104"/>
      </c:scatterChart>
      <c:valAx>
        <c:axId val="158381568"/>
        <c:scaling>
          <c:orientation val="minMax"/>
        </c:scaling>
        <c:axPos val="b"/>
        <c:majorGridlines/>
        <c:numFmt formatCode="General" sourceLinked="1"/>
        <c:tickLblPos val="nextTo"/>
        <c:crossAx val="158383104"/>
        <c:crosses val="autoZero"/>
        <c:crossBetween val="midCat"/>
        <c:majorUnit val="0.1"/>
      </c:valAx>
      <c:valAx>
        <c:axId val="158383104"/>
        <c:scaling>
          <c:orientation val="minMax"/>
        </c:scaling>
        <c:axPos val="l"/>
        <c:majorGridlines/>
        <c:numFmt formatCode="General" sourceLinked="1"/>
        <c:tickLblPos val="nextTo"/>
        <c:crossAx val="158381568"/>
        <c:crosses val="autoZero"/>
        <c:crossBetween val="midCat"/>
        <c:majorUnit val="10"/>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a:t>Tlak</a:t>
            </a:r>
            <a:r>
              <a:rPr lang="cs-CZ" baseline="0"/>
              <a:t> na teplotě</a:t>
            </a:r>
            <a:endParaRPr lang="cs-CZ"/>
          </a:p>
        </c:rich>
      </c:tx>
      <c:layout/>
    </c:title>
    <c:plotArea>
      <c:layout/>
      <c:scatterChart>
        <c:scatterStyle val="lineMarker"/>
        <c:ser>
          <c:idx val="0"/>
          <c:order val="0"/>
          <c:tx>
            <c:strRef>
              <c:f>'voda teplota varu'!$J$10</c:f>
              <c:strCache>
                <c:ptCount val="1"/>
                <c:pt idx="0">
                  <c:v>MPa</c:v>
                </c:pt>
              </c:strCache>
            </c:strRef>
          </c:tx>
          <c:marker>
            <c:symbol val="none"/>
          </c:marker>
          <c:xVal>
            <c:numRef>
              <c:f>'voda teplota varu'!$I$11:$I$48</c:f>
              <c:numCache>
                <c:formatCode>General</c:formatCode>
                <c:ptCount val="38"/>
                <c:pt idx="0">
                  <c:v>81.34</c:v>
                </c:pt>
                <c:pt idx="1">
                  <c:v>89.96</c:v>
                </c:pt>
                <c:pt idx="2">
                  <c:v>96.71</c:v>
                </c:pt>
                <c:pt idx="3">
                  <c:v>99.63</c:v>
                </c:pt>
                <c:pt idx="4">
                  <c:v>102.31</c:v>
                </c:pt>
                <c:pt idx="5">
                  <c:v>104.8</c:v>
                </c:pt>
                <c:pt idx="6">
                  <c:v>107.12</c:v>
                </c:pt>
                <c:pt idx="7">
                  <c:v>109.31</c:v>
                </c:pt>
                <c:pt idx="8">
                  <c:v>111.36</c:v>
                </c:pt>
                <c:pt idx="9">
                  <c:v>113.31</c:v>
                </c:pt>
                <c:pt idx="10">
                  <c:v>115.16</c:v>
                </c:pt>
                <c:pt idx="11">
                  <c:v>116.92</c:v>
                </c:pt>
                <c:pt idx="12">
                  <c:v>118.6</c:v>
                </c:pt>
                <c:pt idx="13">
                  <c:v>120.21</c:v>
                </c:pt>
                <c:pt idx="14">
                  <c:v>121.76</c:v>
                </c:pt>
                <c:pt idx="15">
                  <c:v>123.25</c:v>
                </c:pt>
                <c:pt idx="16">
                  <c:v>124.68</c:v>
                </c:pt>
                <c:pt idx="17">
                  <c:v>126.07</c:v>
                </c:pt>
                <c:pt idx="18">
                  <c:v>127.41</c:v>
                </c:pt>
                <c:pt idx="19">
                  <c:v>128.69999999999999</c:v>
                </c:pt>
                <c:pt idx="20">
                  <c:v>129.96</c:v>
                </c:pt>
                <c:pt idx="21">
                  <c:v>131.18</c:v>
                </c:pt>
                <c:pt idx="22">
                  <c:v>132.36000000000001</c:v>
                </c:pt>
                <c:pt idx="23">
                  <c:v>133.51</c:v>
                </c:pt>
                <c:pt idx="24">
                  <c:v>138.84</c:v>
                </c:pt>
                <c:pt idx="25">
                  <c:v>143.59</c:v>
                </c:pt>
                <c:pt idx="26">
                  <c:v>147.88</c:v>
                </c:pt>
                <c:pt idx="27">
                  <c:v>151.81</c:v>
                </c:pt>
                <c:pt idx="28">
                  <c:v>158.80000000000001</c:v>
                </c:pt>
                <c:pt idx="29">
                  <c:v>164.92</c:v>
                </c:pt>
                <c:pt idx="30">
                  <c:v>170.38</c:v>
                </c:pt>
                <c:pt idx="31">
                  <c:v>175.33</c:v>
                </c:pt>
                <c:pt idx="32">
                  <c:v>179.86</c:v>
                </c:pt>
                <c:pt idx="33">
                  <c:v>184.04</c:v>
                </c:pt>
                <c:pt idx="34">
                  <c:v>187.94</c:v>
                </c:pt>
                <c:pt idx="35">
                  <c:v>191.59</c:v>
                </c:pt>
                <c:pt idx="36">
                  <c:v>195.03</c:v>
                </c:pt>
                <c:pt idx="37">
                  <c:v>198.28</c:v>
                </c:pt>
              </c:numCache>
            </c:numRef>
          </c:xVal>
          <c:yVal>
            <c:numRef>
              <c:f>'voda teplota varu'!$J$11:$J$48</c:f>
              <c:numCache>
                <c:formatCode>General</c:formatCode>
                <c:ptCount val="38"/>
                <c:pt idx="0">
                  <c:v>0.05</c:v>
                </c:pt>
                <c:pt idx="1">
                  <c:v>7.0000000000000007E-2</c:v>
                </c:pt>
                <c:pt idx="2">
                  <c:v>0.09</c:v>
                </c:pt>
                <c:pt idx="3">
                  <c:v>0.1</c:v>
                </c:pt>
                <c:pt idx="4">
                  <c:v>0.11</c:v>
                </c:pt>
                <c:pt idx="5">
                  <c:v>0.12</c:v>
                </c:pt>
                <c:pt idx="6">
                  <c:v>0.13</c:v>
                </c:pt>
                <c:pt idx="7">
                  <c:v>0.14000000000000001</c:v>
                </c:pt>
                <c:pt idx="8">
                  <c:v>0.15</c:v>
                </c:pt>
                <c:pt idx="9">
                  <c:v>0.16</c:v>
                </c:pt>
                <c:pt idx="10">
                  <c:v>0.17</c:v>
                </c:pt>
                <c:pt idx="11">
                  <c:v>0.18</c:v>
                </c:pt>
                <c:pt idx="12">
                  <c:v>0.19</c:v>
                </c:pt>
                <c:pt idx="13">
                  <c:v>0.2</c:v>
                </c:pt>
                <c:pt idx="14">
                  <c:v>0.21</c:v>
                </c:pt>
                <c:pt idx="15">
                  <c:v>0.22</c:v>
                </c:pt>
                <c:pt idx="16">
                  <c:v>0.23</c:v>
                </c:pt>
                <c:pt idx="17">
                  <c:v>0.24</c:v>
                </c:pt>
                <c:pt idx="18">
                  <c:v>0.25</c:v>
                </c:pt>
                <c:pt idx="19">
                  <c:v>0.26</c:v>
                </c:pt>
                <c:pt idx="20">
                  <c:v>0.27</c:v>
                </c:pt>
                <c:pt idx="21">
                  <c:v>0.28000000000000003</c:v>
                </c:pt>
                <c:pt idx="22">
                  <c:v>0.28999999999999998</c:v>
                </c:pt>
                <c:pt idx="23">
                  <c:v>0.3</c:v>
                </c:pt>
                <c:pt idx="24">
                  <c:v>0.35</c:v>
                </c:pt>
                <c:pt idx="25">
                  <c:v>0.4</c:v>
                </c:pt>
                <c:pt idx="26">
                  <c:v>0.45</c:v>
                </c:pt>
                <c:pt idx="27">
                  <c:v>0.5</c:v>
                </c:pt>
                <c:pt idx="28">
                  <c:v>0.6</c:v>
                </c:pt>
                <c:pt idx="29">
                  <c:v>0.7</c:v>
                </c:pt>
                <c:pt idx="30">
                  <c:v>0.8</c:v>
                </c:pt>
                <c:pt idx="31">
                  <c:v>0.9</c:v>
                </c:pt>
                <c:pt idx="32">
                  <c:v>1</c:v>
                </c:pt>
                <c:pt idx="33">
                  <c:v>1.1000000000000001</c:v>
                </c:pt>
                <c:pt idx="34">
                  <c:v>1.2</c:v>
                </c:pt>
                <c:pt idx="35">
                  <c:v>1.3</c:v>
                </c:pt>
                <c:pt idx="36">
                  <c:v>1.4</c:v>
                </c:pt>
                <c:pt idx="37">
                  <c:v>1.5</c:v>
                </c:pt>
              </c:numCache>
            </c:numRef>
          </c:yVal>
          <c:extLst xmlns:c16r2="http://schemas.microsoft.com/office/drawing/2015/06/chart">
            <c:ext xmlns:c16="http://schemas.microsoft.com/office/drawing/2014/chart" uri="{C3380CC4-5D6E-409C-BE32-E72D297353CC}">
              <c16:uniqueId val="{00000000-8F5E-40C6-B84F-28423B088915}"/>
            </c:ext>
          </c:extLst>
        </c:ser>
        <c:ser>
          <c:idx val="1"/>
          <c:order val="1"/>
          <c:tx>
            <c:strRef>
              <c:f>'voda teplota varu'!$K$10</c:f>
              <c:strCache>
                <c:ptCount val="1"/>
                <c:pt idx="0">
                  <c:v>MPa na12</c:v>
                </c:pt>
              </c:strCache>
            </c:strRef>
          </c:tx>
          <c:marker>
            <c:symbol val="none"/>
          </c:marker>
          <c:xVal>
            <c:numRef>
              <c:f>'voda teplota varu'!$I$11:$I$48</c:f>
              <c:numCache>
                <c:formatCode>General</c:formatCode>
                <c:ptCount val="38"/>
                <c:pt idx="0">
                  <c:v>81.34</c:v>
                </c:pt>
                <c:pt idx="1">
                  <c:v>89.96</c:v>
                </c:pt>
                <c:pt idx="2">
                  <c:v>96.71</c:v>
                </c:pt>
                <c:pt idx="3">
                  <c:v>99.63</c:v>
                </c:pt>
                <c:pt idx="4">
                  <c:v>102.31</c:v>
                </c:pt>
                <c:pt idx="5">
                  <c:v>104.8</c:v>
                </c:pt>
                <c:pt idx="6">
                  <c:v>107.12</c:v>
                </c:pt>
                <c:pt idx="7">
                  <c:v>109.31</c:v>
                </c:pt>
                <c:pt idx="8">
                  <c:v>111.36</c:v>
                </c:pt>
                <c:pt idx="9">
                  <c:v>113.31</c:v>
                </c:pt>
                <c:pt idx="10">
                  <c:v>115.16</c:v>
                </c:pt>
                <c:pt idx="11">
                  <c:v>116.92</c:v>
                </c:pt>
                <c:pt idx="12">
                  <c:v>118.6</c:v>
                </c:pt>
                <c:pt idx="13">
                  <c:v>120.21</c:v>
                </c:pt>
                <c:pt idx="14">
                  <c:v>121.76</c:v>
                </c:pt>
                <c:pt idx="15">
                  <c:v>123.25</c:v>
                </c:pt>
                <c:pt idx="16">
                  <c:v>124.68</c:v>
                </c:pt>
                <c:pt idx="17">
                  <c:v>126.07</c:v>
                </c:pt>
                <c:pt idx="18">
                  <c:v>127.41</c:v>
                </c:pt>
                <c:pt idx="19">
                  <c:v>128.69999999999999</c:v>
                </c:pt>
                <c:pt idx="20">
                  <c:v>129.96</c:v>
                </c:pt>
                <c:pt idx="21">
                  <c:v>131.18</c:v>
                </c:pt>
                <c:pt idx="22">
                  <c:v>132.36000000000001</c:v>
                </c:pt>
                <c:pt idx="23">
                  <c:v>133.51</c:v>
                </c:pt>
                <c:pt idx="24">
                  <c:v>138.84</c:v>
                </c:pt>
                <c:pt idx="25">
                  <c:v>143.59</c:v>
                </c:pt>
                <c:pt idx="26">
                  <c:v>147.88</c:v>
                </c:pt>
                <c:pt idx="27">
                  <c:v>151.81</c:v>
                </c:pt>
                <c:pt idx="28">
                  <c:v>158.80000000000001</c:v>
                </c:pt>
                <c:pt idx="29">
                  <c:v>164.92</c:v>
                </c:pt>
                <c:pt idx="30">
                  <c:v>170.38</c:v>
                </c:pt>
                <c:pt idx="31">
                  <c:v>175.33</c:v>
                </c:pt>
                <c:pt idx="32">
                  <c:v>179.86</c:v>
                </c:pt>
                <c:pt idx="33">
                  <c:v>184.04</c:v>
                </c:pt>
                <c:pt idx="34">
                  <c:v>187.94</c:v>
                </c:pt>
                <c:pt idx="35">
                  <c:v>191.59</c:v>
                </c:pt>
                <c:pt idx="36">
                  <c:v>195.03</c:v>
                </c:pt>
                <c:pt idx="37">
                  <c:v>198.28</c:v>
                </c:pt>
              </c:numCache>
            </c:numRef>
          </c:xVal>
          <c:yVal>
            <c:numRef>
              <c:f>'voda teplota varu'!$K$11:$K$48</c:f>
              <c:numCache>
                <c:formatCode>General</c:formatCode>
                <c:ptCount val="38"/>
                <c:pt idx="0">
                  <c:v>5.4849188398241579E-2</c:v>
                </c:pt>
                <c:pt idx="1">
                  <c:v>7.3186879570561914E-2</c:v>
                </c:pt>
                <c:pt idx="2">
                  <c:v>9.1298240357142429E-2</c:v>
                </c:pt>
                <c:pt idx="3">
                  <c:v>0.10033716678239853</c:v>
                </c:pt>
                <c:pt idx="4">
                  <c:v>0.10934770436384143</c:v>
                </c:pt>
                <c:pt idx="5">
                  <c:v>0.11837813095321004</c:v>
                </c:pt>
                <c:pt idx="6">
                  <c:v>0.12740212820588107</c:v>
                </c:pt>
                <c:pt idx="7">
                  <c:v>0.13649474472934844</c:v>
                </c:pt>
                <c:pt idx="8">
                  <c:v>0.1455413008108605</c:v>
                </c:pt>
                <c:pt idx="9">
                  <c:v>0.15465338874469661</c:v>
                </c:pt>
                <c:pt idx="10">
                  <c:v>0.16377868731184736</c:v>
                </c:pt>
                <c:pt idx="11">
                  <c:v>0.17291560071475853</c:v>
                </c:pt>
                <c:pt idx="12">
                  <c:v>0.18207077182445564</c:v>
                </c:pt>
                <c:pt idx="13">
                  <c:v>0.19125935439669745</c:v>
                </c:pt>
                <c:pt idx="14">
                  <c:v>0.20050523646531401</c:v>
                </c:pt>
                <c:pt idx="15">
                  <c:v>0.20977770912225194</c:v>
                </c:pt>
                <c:pt idx="16">
                  <c:v>0.21904484515064945</c:v>
                </c:pt>
                <c:pt idx="17">
                  <c:v>0.22841099617104296</c:v>
                </c:pt>
                <c:pt idx="18">
                  <c:v>0.2377864033146101</c:v>
                </c:pt>
                <c:pt idx="19">
                  <c:v>0.24714396872972424</c:v>
                </c:pt>
                <c:pt idx="20">
                  <c:v>0.25660864881310941</c:v>
                </c:pt>
                <c:pt idx="21">
                  <c:v>0.26608835606242459</c:v>
                </c:pt>
                <c:pt idx="22">
                  <c:v>0.2755616211464989</c:v>
                </c:pt>
                <c:pt idx="23">
                  <c:v>0.28509056079481676</c:v>
                </c:pt>
                <c:pt idx="24">
                  <c:v>0.3333268808534538</c:v>
                </c:pt>
                <c:pt idx="25">
                  <c:v>0.38250236496855888</c:v>
                </c:pt>
                <c:pt idx="26">
                  <c:v>0.43254122029220615</c:v>
                </c:pt>
                <c:pt idx="27">
                  <c:v>0.48357608305896904</c:v>
                </c:pt>
                <c:pt idx="28">
                  <c:v>0.58819278320817803</c:v>
                </c:pt>
                <c:pt idx="29">
                  <c:v>0.69641063787557522</c:v>
                </c:pt>
                <c:pt idx="30">
                  <c:v>0.80805556262639278</c:v>
                </c:pt>
                <c:pt idx="31">
                  <c:v>0.92321243077918758</c:v>
                </c:pt>
                <c:pt idx="32">
                  <c:v>1.0415870755658323</c:v>
                </c:pt>
                <c:pt idx="33">
                  <c:v>1.1629969299977221</c:v>
                </c:pt>
                <c:pt idx="34">
                  <c:v>1.2878367245590423</c:v>
                </c:pt>
                <c:pt idx="35">
                  <c:v>1.4156840125210879</c:v>
                </c:pt>
                <c:pt idx="36">
                  <c:v>1.5467222554361801</c:v>
                </c:pt>
                <c:pt idx="37">
                  <c:v>1.6806456370789475</c:v>
                </c:pt>
              </c:numCache>
            </c:numRef>
          </c:yVal>
          <c:extLst xmlns:c16r2="http://schemas.microsoft.com/office/drawing/2015/06/chart">
            <c:ext xmlns:c16="http://schemas.microsoft.com/office/drawing/2014/chart" uri="{C3380CC4-5D6E-409C-BE32-E72D297353CC}">
              <c16:uniqueId val="{00000001-8F5E-40C6-B84F-28423B088915}"/>
            </c:ext>
          </c:extLst>
        </c:ser>
        <c:axId val="158415488"/>
        <c:axId val="158450048"/>
      </c:scatterChart>
      <c:valAx>
        <c:axId val="158415488"/>
        <c:scaling>
          <c:orientation val="minMax"/>
        </c:scaling>
        <c:axPos val="b"/>
        <c:numFmt formatCode="General" sourceLinked="1"/>
        <c:tickLblPos val="nextTo"/>
        <c:crossAx val="158450048"/>
        <c:crosses val="autoZero"/>
        <c:crossBetween val="midCat"/>
      </c:valAx>
      <c:valAx>
        <c:axId val="158450048"/>
        <c:scaling>
          <c:orientation val="minMax"/>
        </c:scaling>
        <c:axPos val="l"/>
        <c:majorGridlines/>
        <c:numFmt formatCode="General" sourceLinked="1"/>
        <c:tickLblPos val="nextTo"/>
        <c:crossAx val="158415488"/>
        <c:crosses val="autoZero"/>
        <c:crossBetween val="midCat"/>
      </c:valAx>
    </c:plotArea>
    <c:legend>
      <c:legendPos val="r"/>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00" baseline="0"/>
              <a:t>Kv 100m trubky dle typu a dle teploty</a:t>
            </a:r>
          </a:p>
        </c:rich>
      </c:tx>
    </c:title>
    <c:plotArea>
      <c:layout/>
      <c:scatterChart>
        <c:scatterStyle val="lineMarker"/>
        <c:ser>
          <c:idx val="0"/>
          <c:order val="0"/>
          <c:tx>
            <c:strRef>
              <c:f>Giacomini999!$D$12</c:f>
              <c:strCache>
                <c:ptCount val="1"/>
                <c:pt idx="0">
                  <c:v>Kv pro 100m 10°C</c:v>
                </c:pt>
              </c:strCache>
            </c:strRef>
          </c:tx>
          <c:xVal>
            <c:numRef>
              <c:f>Giacomini999!$A$13:$A$19</c:f>
              <c:numCache>
                <c:formatCode>General</c:formatCode>
                <c:ptCount val="7"/>
                <c:pt idx="0">
                  <c:v>1</c:v>
                </c:pt>
                <c:pt idx="1">
                  <c:v>2</c:v>
                </c:pt>
                <c:pt idx="2">
                  <c:v>3</c:v>
                </c:pt>
                <c:pt idx="3">
                  <c:v>4</c:v>
                </c:pt>
                <c:pt idx="4">
                  <c:v>5</c:v>
                </c:pt>
                <c:pt idx="5">
                  <c:v>6</c:v>
                </c:pt>
                <c:pt idx="6">
                  <c:v>7</c:v>
                </c:pt>
              </c:numCache>
            </c:numRef>
          </c:xVal>
          <c:yVal>
            <c:numRef>
              <c:f>Giacomini999!$D$13:$D$19</c:f>
              <c:numCache>
                <c:formatCode>General</c:formatCode>
                <c:ptCount val="7"/>
                <c:pt idx="0">
                  <c:v>0.21049392463368699</c:v>
                </c:pt>
                <c:pt idx="1">
                  <c:v>0.34399999999999997</c:v>
                </c:pt>
                <c:pt idx="2">
                  <c:v>0.54</c:v>
                </c:pt>
                <c:pt idx="3">
                  <c:v>0.64</c:v>
                </c:pt>
                <c:pt idx="4">
                  <c:v>0.76</c:v>
                </c:pt>
                <c:pt idx="5">
                  <c:v>1.38</c:v>
                </c:pt>
                <c:pt idx="6">
                  <c:v>2.8</c:v>
                </c:pt>
              </c:numCache>
            </c:numRef>
          </c:yVal>
          <c:extLst xmlns:c16r2="http://schemas.microsoft.com/office/drawing/2015/06/chart">
            <c:ext xmlns:c16="http://schemas.microsoft.com/office/drawing/2014/chart" uri="{C3380CC4-5D6E-409C-BE32-E72D297353CC}">
              <c16:uniqueId val="{00000000-C1C8-41B9-8C93-7CB3E3DFD223}"/>
            </c:ext>
          </c:extLst>
        </c:ser>
        <c:ser>
          <c:idx val="1"/>
          <c:order val="1"/>
          <c:tx>
            <c:strRef>
              <c:f>Giacomini999!$E$12</c:f>
              <c:strCache>
                <c:ptCount val="1"/>
                <c:pt idx="0">
                  <c:v>Kv pro 100m 50°C</c:v>
                </c:pt>
              </c:strCache>
            </c:strRef>
          </c:tx>
          <c:xVal>
            <c:numRef>
              <c:f>Giacomini999!$A$13:$A$19</c:f>
              <c:numCache>
                <c:formatCode>General</c:formatCode>
                <c:ptCount val="7"/>
                <c:pt idx="0">
                  <c:v>1</c:v>
                </c:pt>
                <c:pt idx="1">
                  <c:v>2</c:v>
                </c:pt>
                <c:pt idx="2">
                  <c:v>3</c:v>
                </c:pt>
                <c:pt idx="3">
                  <c:v>4</c:v>
                </c:pt>
                <c:pt idx="4">
                  <c:v>5</c:v>
                </c:pt>
                <c:pt idx="5">
                  <c:v>6</c:v>
                </c:pt>
                <c:pt idx="6">
                  <c:v>7</c:v>
                </c:pt>
              </c:numCache>
            </c:numRef>
          </c:xVal>
          <c:yVal>
            <c:numRef>
              <c:f>Giacomini999!$E$13:$E$19</c:f>
              <c:numCache>
                <c:formatCode>General</c:formatCode>
                <c:ptCount val="7"/>
                <c:pt idx="0">
                  <c:v>0.23200000000000001</c:v>
                </c:pt>
                <c:pt idx="1">
                  <c:v>0.38</c:v>
                </c:pt>
                <c:pt idx="2">
                  <c:v>0.57999999999999996</c:v>
                </c:pt>
                <c:pt idx="3">
                  <c:v>0.7</c:v>
                </c:pt>
                <c:pt idx="4">
                  <c:v>0.84</c:v>
                </c:pt>
                <c:pt idx="5">
                  <c:v>1.52</c:v>
                </c:pt>
                <c:pt idx="6">
                  <c:v>3.12</c:v>
                </c:pt>
              </c:numCache>
            </c:numRef>
          </c:yVal>
          <c:extLst xmlns:c16r2="http://schemas.microsoft.com/office/drawing/2015/06/chart">
            <c:ext xmlns:c16="http://schemas.microsoft.com/office/drawing/2014/chart" uri="{C3380CC4-5D6E-409C-BE32-E72D297353CC}">
              <c16:uniqueId val="{00000001-C1C8-41B9-8C93-7CB3E3DFD223}"/>
            </c:ext>
          </c:extLst>
        </c:ser>
        <c:ser>
          <c:idx val="2"/>
          <c:order val="2"/>
          <c:tx>
            <c:strRef>
              <c:f>Giacomini999!$F$12</c:f>
              <c:strCache>
                <c:ptCount val="1"/>
                <c:pt idx="0">
                  <c:v>Kv pro 100m 80°C</c:v>
                </c:pt>
              </c:strCache>
            </c:strRef>
          </c:tx>
          <c:xVal>
            <c:numRef>
              <c:f>Giacomini999!$A$13:$A$19</c:f>
              <c:numCache>
                <c:formatCode>General</c:formatCode>
                <c:ptCount val="7"/>
                <c:pt idx="0">
                  <c:v>1</c:v>
                </c:pt>
                <c:pt idx="1">
                  <c:v>2</c:v>
                </c:pt>
                <c:pt idx="2">
                  <c:v>3</c:v>
                </c:pt>
                <c:pt idx="3">
                  <c:v>4</c:v>
                </c:pt>
                <c:pt idx="4">
                  <c:v>5</c:v>
                </c:pt>
                <c:pt idx="5">
                  <c:v>6</c:v>
                </c:pt>
                <c:pt idx="6">
                  <c:v>7</c:v>
                </c:pt>
              </c:numCache>
            </c:numRef>
          </c:xVal>
          <c:yVal>
            <c:numRef>
              <c:f>Giacomini999!$F$13:$F$19</c:f>
              <c:numCache>
                <c:formatCode>General</c:formatCode>
                <c:ptCount val="7"/>
                <c:pt idx="0">
                  <c:v>0.248</c:v>
                </c:pt>
                <c:pt idx="1">
                  <c:v>0.4</c:v>
                </c:pt>
                <c:pt idx="2">
                  <c:v>0.62</c:v>
                </c:pt>
                <c:pt idx="3">
                  <c:v>0.72</c:v>
                </c:pt>
                <c:pt idx="4">
                  <c:v>0.88</c:v>
                </c:pt>
                <c:pt idx="5">
                  <c:v>1.6</c:v>
                </c:pt>
                <c:pt idx="6">
                  <c:v>3.28</c:v>
                </c:pt>
              </c:numCache>
            </c:numRef>
          </c:yVal>
          <c:extLst xmlns:c16r2="http://schemas.microsoft.com/office/drawing/2015/06/chart">
            <c:ext xmlns:c16="http://schemas.microsoft.com/office/drawing/2014/chart" uri="{C3380CC4-5D6E-409C-BE32-E72D297353CC}">
              <c16:uniqueId val="{00000002-C1C8-41B9-8C93-7CB3E3DFD223}"/>
            </c:ext>
          </c:extLst>
        </c:ser>
        <c:ser>
          <c:idx val="3"/>
          <c:order val="3"/>
          <c:tx>
            <c:strRef>
              <c:f>Giacomini999!$G$12</c:f>
              <c:strCache>
                <c:ptCount val="1"/>
                <c:pt idx="0">
                  <c:v>průměr ^ 2,7</c:v>
                </c:pt>
              </c:strCache>
            </c:strRef>
          </c:tx>
          <c:xVal>
            <c:numRef>
              <c:f>Giacomini999!$A$13:$A$19</c:f>
              <c:numCache>
                <c:formatCode>General</c:formatCode>
                <c:ptCount val="7"/>
                <c:pt idx="0">
                  <c:v>1</c:v>
                </c:pt>
                <c:pt idx="1">
                  <c:v>2</c:v>
                </c:pt>
                <c:pt idx="2">
                  <c:v>3</c:v>
                </c:pt>
                <c:pt idx="3">
                  <c:v>4</c:v>
                </c:pt>
                <c:pt idx="4">
                  <c:v>5</c:v>
                </c:pt>
                <c:pt idx="5">
                  <c:v>6</c:v>
                </c:pt>
                <c:pt idx="6">
                  <c:v>7</c:v>
                </c:pt>
              </c:numCache>
            </c:numRef>
          </c:xVal>
          <c:yVal>
            <c:numRef>
              <c:f>Giacomini999!$G$13:$G$19</c:f>
              <c:numCache>
                <c:formatCode>General</c:formatCode>
                <c:ptCount val="7"/>
                <c:pt idx="0">
                  <c:v>0.24800000000000003</c:v>
                </c:pt>
                <c:pt idx="1">
                  <c:v>0.40573366609726702</c:v>
                </c:pt>
                <c:pt idx="2">
                  <c:v>0.61517315747224199</c:v>
                </c:pt>
                <c:pt idx="3">
                  <c:v>0.74113629188838048</c:v>
                </c:pt>
                <c:pt idx="4">
                  <c:v>0.88221743020130727</c:v>
                </c:pt>
                <c:pt idx="5">
                  <c:v>1.6115087543707705</c:v>
                </c:pt>
                <c:pt idx="6">
                  <c:v>3.2725004907277939</c:v>
                </c:pt>
              </c:numCache>
            </c:numRef>
          </c:yVal>
          <c:extLst xmlns:c16r2="http://schemas.microsoft.com/office/drawing/2015/06/chart">
            <c:ext xmlns:c16="http://schemas.microsoft.com/office/drawing/2014/chart" uri="{C3380CC4-5D6E-409C-BE32-E72D297353CC}">
              <c16:uniqueId val="{00000003-C1C8-41B9-8C93-7CB3E3DFD223}"/>
            </c:ext>
          </c:extLst>
        </c:ser>
        <c:axId val="158538752"/>
        <c:axId val="158540544"/>
      </c:scatterChart>
      <c:valAx>
        <c:axId val="158538752"/>
        <c:scaling>
          <c:orientation val="minMax"/>
          <c:max val="7"/>
          <c:min val="1"/>
        </c:scaling>
        <c:axPos val="b"/>
        <c:numFmt formatCode="General" sourceLinked="1"/>
        <c:tickLblPos val="nextTo"/>
        <c:crossAx val="158540544"/>
        <c:crosses val="autoZero"/>
        <c:crossBetween val="midCat"/>
        <c:majorUnit val="1"/>
      </c:valAx>
      <c:valAx>
        <c:axId val="158540544"/>
        <c:scaling>
          <c:orientation val="minMax"/>
        </c:scaling>
        <c:axPos val="l"/>
        <c:majorGridlines/>
        <c:numFmt formatCode="General" sourceLinked="1"/>
        <c:tickLblPos val="nextTo"/>
        <c:crossAx val="158538752"/>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Giacomini999!$T$12:$T$18</c:f>
              <c:numCache>
                <c:formatCode>General</c:formatCode>
                <c:ptCount val="7"/>
                <c:pt idx="0">
                  <c:v>1.1021695775958336</c:v>
                </c:pt>
                <c:pt idx="1">
                  <c:v>1.1046511627906979</c:v>
                </c:pt>
                <c:pt idx="2">
                  <c:v>1.074074074074074</c:v>
                </c:pt>
                <c:pt idx="3">
                  <c:v>1.09375</c:v>
                </c:pt>
                <c:pt idx="4">
                  <c:v>1.1052631578947367</c:v>
                </c:pt>
                <c:pt idx="5">
                  <c:v>1.1014492753623188</c:v>
                </c:pt>
                <c:pt idx="6">
                  <c:v>1.1142857142857143</c:v>
                </c:pt>
              </c:numCache>
            </c:numRef>
          </c:val>
          <c:extLst xmlns:c16r2="http://schemas.microsoft.com/office/drawing/2015/06/chart">
            <c:ext xmlns:c16="http://schemas.microsoft.com/office/drawing/2014/chart" uri="{C3380CC4-5D6E-409C-BE32-E72D297353CC}">
              <c16:uniqueId val="{00000000-3908-4110-B7A1-6F9C4197602E}"/>
            </c:ext>
          </c:extLst>
        </c:ser>
        <c:ser>
          <c:idx val="1"/>
          <c:order val="1"/>
          <c:val>
            <c:numRef>
              <c:f>Giacomini999!$U$12:$U$18</c:f>
              <c:numCache>
                <c:formatCode>General</c:formatCode>
                <c:ptCount val="7"/>
                <c:pt idx="0">
                  <c:v>1.0689655172413792</c:v>
                </c:pt>
                <c:pt idx="1">
                  <c:v>1.0526315789473684</c:v>
                </c:pt>
                <c:pt idx="2">
                  <c:v>1.0689655172413794</c:v>
                </c:pt>
                <c:pt idx="3">
                  <c:v>1.0285714285714287</c:v>
                </c:pt>
                <c:pt idx="4">
                  <c:v>1.0476190476190477</c:v>
                </c:pt>
                <c:pt idx="5">
                  <c:v>1.0526315789473684</c:v>
                </c:pt>
                <c:pt idx="6">
                  <c:v>1.0512820512820511</c:v>
                </c:pt>
              </c:numCache>
            </c:numRef>
          </c:val>
          <c:extLst xmlns:c16r2="http://schemas.microsoft.com/office/drawing/2015/06/chart">
            <c:ext xmlns:c16="http://schemas.microsoft.com/office/drawing/2014/chart" uri="{C3380CC4-5D6E-409C-BE32-E72D297353CC}">
              <c16:uniqueId val="{00000001-3908-4110-B7A1-6F9C4197602E}"/>
            </c:ext>
          </c:extLst>
        </c:ser>
        <c:axId val="158577792"/>
        <c:axId val="158579328"/>
      </c:barChart>
      <c:catAx>
        <c:axId val="158577792"/>
        <c:scaling>
          <c:orientation val="minMax"/>
        </c:scaling>
        <c:axPos val="b"/>
        <c:tickLblPos val="nextTo"/>
        <c:crossAx val="158579328"/>
        <c:crosses val="autoZero"/>
        <c:auto val="1"/>
        <c:lblAlgn val="ctr"/>
        <c:lblOffset val="100"/>
      </c:catAx>
      <c:valAx>
        <c:axId val="158579328"/>
        <c:scaling>
          <c:orientation val="minMax"/>
        </c:scaling>
        <c:axPos val="l"/>
        <c:majorGridlines/>
        <c:numFmt formatCode="General" sourceLinked="1"/>
        <c:tickLblPos val="nextTo"/>
        <c:crossAx val="158577792"/>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cs-CZ"/>
  <c:chart>
    <c:plotArea>
      <c:layout/>
      <c:barChart>
        <c:barDir val="col"/>
        <c:grouping val="clustered"/>
        <c:ser>
          <c:idx val="0"/>
          <c:order val="0"/>
          <c:val>
            <c:numRef>
              <c:f>Giacomini999!$N$13:$N$19</c:f>
              <c:numCache>
                <c:formatCode>General</c:formatCode>
                <c:ptCount val="7"/>
                <c:pt idx="0">
                  <c:v>0.99999999999999989</c:v>
                </c:pt>
                <c:pt idx="1">
                  <c:v>0.98586839945420635</c:v>
                </c:pt>
                <c:pt idx="2">
                  <c:v>1.0078463152514514</c:v>
                </c:pt>
                <c:pt idx="3">
                  <c:v>0.97148123480159598</c:v>
                </c:pt>
                <c:pt idx="4">
                  <c:v>0.99748652642149538</c:v>
                </c:pt>
                <c:pt idx="5">
                  <c:v>0.99285839785880403</c:v>
                </c:pt>
                <c:pt idx="6">
                  <c:v>1.0022916755225721</c:v>
                </c:pt>
              </c:numCache>
            </c:numRef>
          </c:val>
          <c:extLst xmlns:c16r2="http://schemas.microsoft.com/office/drawing/2015/06/chart">
            <c:ext xmlns:c16="http://schemas.microsoft.com/office/drawing/2014/chart" uri="{C3380CC4-5D6E-409C-BE32-E72D297353CC}">
              <c16:uniqueId val="{00000000-B03A-4E44-8FBD-1C7BB774D9C1}"/>
            </c:ext>
          </c:extLst>
        </c:ser>
        <c:axId val="158594560"/>
        <c:axId val="158596096"/>
      </c:barChart>
      <c:catAx>
        <c:axId val="158594560"/>
        <c:scaling>
          <c:orientation val="minMax"/>
        </c:scaling>
        <c:axPos val="b"/>
        <c:tickLblPos val="nextTo"/>
        <c:crossAx val="158596096"/>
        <c:crosses val="autoZero"/>
        <c:auto val="1"/>
        <c:lblAlgn val="ctr"/>
        <c:lblOffset val="100"/>
      </c:catAx>
      <c:valAx>
        <c:axId val="158596096"/>
        <c:scaling>
          <c:orientation val="minMax"/>
        </c:scaling>
        <c:axPos val="l"/>
        <c:majorGridlines/>
        <c:numFmt formatCode="General" sourceLinked="1"/>
        <c:tickLblPos val="nextTo"/>
        <c:crossAx val="158594560"/>
        <c:crosses val="autoZero"/>
        <c:crossBetween val="between"/>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Giacomini999!$M$3:$M$7</c:f>
              <c:numCache>
                <c:formatCode>General</c:formatCode>
                <c:ptCount val="5"/>
                <c:pt idx="0">
                  <c:v>0.23200000000000001</c:v>
                </c:pt>
                <c:pt idx="1">
                  <c:v>0.38</c:v>
                </c:pt>
                <c:pt idx="2">
                  <c:v>0.57999999999999996</c:v>
                </c:pt>
                <c:pt idx="3">
                  <c:v>0.7</c:v>
                </c:pt>
                <c:pt idx="4">
                  <c:v>0.84</c:v>
                </c:pt>
              </c:numCache>
            </c:numRef>
          </c:xVal>
          <c:yVal>
            <c:numRef>
              <c:f>Giacomini999!$N$3:$N$7</c:f>
              <c:numCache>
                <c:formatCode>General</c:formatCode>
                <c:ptCount val="5"/>
                <c:pt idx="0">
                  <c:v>0.15148199232011536</c:v>
                </c:pt>
                <c:pt idx="1">
                  <c:v>0.1769836444763965</c:v>
                </c:pt>
                <c:pt idx="2">
                  <c:v>0.18907459632525442</c:v>
                </c:pt>
                <c:pt idx="3">
                  <c:v>0.19230478952816465</c:v>
                </c:pt>
                <c:pt idx="4">
                  <c:v>0.19456124293707341</c:v>
                </c:pt>
              </c:numCache>
            </c:numRef>
          </c:yVal>
          <c:extLst xmlns:c16r2="http://schemas.microsoft.com/office/drawing/2015/06/chart">
            <c:ext xmlns:c16="http://schemas.microsoft.com/office/drawing/2014/chart" uri="{C3380CC4-5D6E-409C-BE32-E72D297353CC}">
              <c16:uniqueId val="{00000000-1AB1-47A9-8F7A-3C7A886DD85D}"/>
            </c:ext>
          </c:extLst>
        </c:ser>
        <c:ser>
          <c:idx val="1"/>
          <c:order val="1"/>
          <c:xVal>
            <c:numRef>
              <c:f>Giacomini999!$M$3:$M$7</c:f>
              <c:numCache>
                <c:formatCode>General</c:formatCode>
                <c:ptCount val="5"/>
                <c:pt idx="0">
                  <c:v>0.23200000000000001</c:v>
                </c:pt>
                <c:pt idx="1">
                  <c:v>0.38</c:v>
                </c:pt>
                <c:pt idx="2">
                  <c:v>0.57999999999999996</c:v>
                </c:pt>
                <c:pt idx="3">
                  <c:v>0.7</c:v>
                </c:pt>
                <c:pt idx="4">
                  <c:v>0.84</c:v>
                </c:pt>
              </c:numCache>
            </c:numRef>
          </c:xVal>
          <c:yVal>
            <c:numRef>
              <c:f>Giacomini999!$O$3:$O$7</c:f>
              <c:numCache>
                <c:formatCode>General</c:formatCode>
                <c:ptCount val="5"/>
                <c:pt idx="0">
                  <c:v>0.1835242923141128</c:v>
                </c:pt>
                <c:pt idx="1">
                  <c:v>0.23546482966002785</c:v>
                </c:pt>
                <c:pt idx="2">
                  <c:v>0.26646529294678462</c:v>
                </c:pt>
                <c:pt idx="3">
                  <c:v>0.27574350900541739</c:v>
                </c:pt>
                <c:pt idx="4">
                  <c:v>0.28252257347845128</c:v>
                </c:pt>
              </c:numCache>
            </c:numRef>
          </c:yVal>
          <c:extLst xmlns:c16r2="http://schemas.microsoft.com/office/drawing/2015/06/chart">
            <c:ext xmlns:c16="http://schemas.microsoft.com/office/drawing/2014/chart" uri="{C3380CC4-5D6E-409C-BE32-E72D297353CC}">
              <c16:uniqueId val="{00000001-1AB1-47A9-8F7A-3C7A886DD85D}"/>
            </c:ext>
          </c:extLst>
        </c:ser>
        <c:ser>
          <c:idx val="2"/>
          <c:order val="2"/>
          <c:xVal>
            <c:numRef>
              <c:f>Giacomini999!$M$3:$M$7</c:f>
              <c:numCache>
                <c:formatCode>General</c:formatCode>
                <c:ptCount val="5"/>
                <c:pt idx="0">
                  <c:v>0.23200000000000001</c:v>
                </c:pt>
                <c:pt idx="1">
                  <c:v>0.38</c:v>
                </c:pt>
                <c:pt idx="2">
                  <c:v>0.57999999999999996</c:v>
                </c:pt>
                <c:pt idx="3">
                  <c:v>0.7</c:v>
                </c:pt>
                <c:pt idx="4">
                  <c:v>0.84</c:v>
                </c:pt>
              </c:numCache>
            </c:numRef>
          </c:xVal>
          <c:yVal>
            <c:numRef>
              <c:f>Giacomini999!$P$3:$P$7</c:f>
              <c:numCache>
                <c:formatCode>General</c:formatCode>
                <c:ptCount val="5"/>
                <c:pt idx="0">
                  <c:v>0.20068723590873838</c:v>
                </c:pt>
                <c:pt idx="1">
                  <c:v>0.27549978476587728</c:v>
                </c:pt>
                <c:pt idx="2">
                  <c:v>0.32928511436612251</c:v>
                </c:pt>
                <c:pt idx="3">
                  <c:v>0.34729725684978369</c:v>
                </c:pt>
                <c:pt idx="4">
                  <c:v>0.36114420752957216</c:v>
                </c:pt>
              </c:numCache>
            </c:numRef>
          </c:yVal>
          <c:extLst xmlns:c16r2="http://schemas.microsoft.com/office/drawing/2015/06/chart">
            <c:ext xmlns:c16="http://schemas.microsoft.com/office/drawing/2014/chart" uri="{C3380CC4-5D6E-409C-BE32-E72D297353CC}">
              <c16:uniqueId val="{00000002-1AB1-47A9-8F7A-3C7A886DD85D}"/>
            </c:ext>
          </c:extLst>
        </c:ser>
        <c:ser>
          <c:idx val="3"/>
          <c:order val="3"/>
          <c:xVal>
            <c:numRef>
              <c:f>Giacomini999!$M$3:$M$7</c:f>
              <c:numCache>
                <c:formatCode>General</c:formatCode>
                <c:ptCount val="5"/>
                <c:pt idx="0">
                  <c:v>0.23200000000000001</c:v>
                </c:pt>
                <c:pt idx="1">
                  <c:v>0.38</c:v>
                </c:pt>
                <c:pt idx="2">
                  <c:v>0.57999999999999996</c:v>
                </c:pt>
                <c:pt idx="3">
                  <c:v>0.7</c:v>
                </c:pt>
                <c:pt idx="4">
                  <c:v>0.84</c:v>
                </c:pt>
              </c:numCache>
            </c:numRef>
          </c:xVal>
          <c:yVal>
            <c:numRef>
              <c:f>Giacomini999!$Q$3:$Q$7</c:f>
              <c:numCache>
                <c:formatCode>General</c:formatCode>
                <c:ptCount val="5"/>
                <c:pt idx="0">
                  <c:v>0.21044904081092897</c:v>
                </c:pt>
                <c:pt idx="1">
                  <c:v>0.30254163376677895</c:v>
                </c:pt>
                <c:pt idx="2">
                  <c:v>0.37870498080028836</c:v>
                </c:pt>
                <c:pt idx="3">
                  <c:v>0.40686673560336745</c:v>
                </c:pt>
                <c:pt idx="4">
                  <c:v>0.42964644220485337</c:v>
                </c:pt>
              </c:numCache>
            </c:numRef>
          </c:yVal>
          <c:extLst xmlns:c16r2="http://schemas.microsoft.com/office/drawing/2015/06/chart">
            <c:ext xmlns:c16="http://schemas.microsoft.com/office/drawing/2014/chart" uri="{C3380CC4-5D6E-409C-BE32-E72D297353CC}">
              <c16:uniqueId val="{00000003-1AB1-47A9-8F7A-3C7A886DD85D}"/>
            </c:ext>
          </c:extLst>
        </c:ser>
        <c:ser>
          <c:idx val="4"/>
          <c:order val="4"/>
          <c:xVal>
            <c:numRef>
              <c:f>Giacomini999!$M$3:$M$7</c:f>
              <c:numCache>
                <c:formatCode>General</c:formatCode>
                <c:ptCount val="5"/>
                <c:pt idx="0">
                  <c:v>0.23200000000000001</c:v>
                </c:pt>
                <c:pt idx="1">
                  <c:v>0.38</c:v>
                </c:pt>
                <c:pt idx="2">
                  <c:v>0.57999999999999996</c:v>
                </c:pt>
                <c:pt idx="3">
                  <c:v>0.7</c:v>
                </c:pt>
                <c:pt idx="4">
                  <c:v>0.84</c:v>
                </c:pt>
              </c:numCache>
            </c:numRef>
          </c:xVal>
          <c:yVal>
            <c:numRef>
              <c:f>Giacomini999!$R$3:$R$7</c:f>
              <c:numCache>
                <c:formatCode>General</c:formatCode>
                <c:ptCount val="5"/>
                <c:pt idx="0">
                  <c:v>0.21638711573013208</c:v>
                </c:pt>
                <c:pt idx="1">
                  <c:v>0.32103124871060684</c:v>
                </c:pt>
                <c:pt idx="2">
                  <c:v>0.41701325810848494</c:v>
                </c:pt>
                <c:pt idx="3">
                  <c:v>0.45555396141917798</c:v>
                </c:pt>
                <c:pt idx="4">
                  <c:v>0.48824008272404101</c:v>
                </c:pt>
              </c:numCache>
            </c:numRef>
          </c:yVal>
          <c:extLst xmlns:c16r2="http://schemas.microsoft.com/office/drawing/2015/06/chart">
            <c:ext xmlns:c16="http://schemas.microsoft.com/office/drawing/2014/chart" uri="{C3380CC4-5D6E-409C-BE32-E72D297353CC}">
              <c16:uniqueId val="{00000004-1AB1-47A9-8F7A-3C7A886DD85D}"/>
            </c:ext>
          </c:extLst>
        </c:ser>
        <c:ser>
          <c:idx val="5"/>
          <c:order val="5"/>
          <c:xVal>
            <c:numRef>
              <c:f>Giacomini999!$M$3:$M$7</c:f>
              <c:numCache>
                <c:formatCode>General</c:formatCode>
                <c:ptCount val="5"/>
                <c:pt idx="0">
                  <c:v>0.23200000000000001</c:v>
                </c:pt>
                <c:pt idx="1">
                  <c:v>0.38</c:v>
                </c:pt>
                <c:pt idx="2">
                  <c:v>0.57999999999999996</c:v>
                </c:pt>
                <c:pt idx="3">
                  <c:v>0.7</c:v>
                </c:pt>
                <c:pt idx="4">
                  <c:v>0.84</c:v>
                </c:pt>
              </c:numCache>
            </c:numRef>
          </c:xVal>
          <c:yVal>
            <c:numRef>
              <c:f>Giacomini999!$S$3:$S$7</c:f>
              <c:numCache>
                <c:formatCode>General</c:formatCode>
                <c:ptCount val="5"/>
                <c:pt idx="0">
                  <c:v>0.22022004139796755</c:v>
                </c:pt>
                <c:pt idx="1">
                  <c:v>0.33396430403296384</c:v>
                </c:pt>
                <c:pt idx="2">
                  <c:v>0.44661250532522606</c:v>
                </c:pt>
                <c:pt idx="3">
                  <c:v>0.49497474683058323</c:v>
                </c:pt>
                <c:pt idx="4">
                  <c:v>0.53775489571816315</c:v>
                </c:pt>
              </c:numCache>
            </c:numRef>
          </c:yVal>
          <c:extLst xmlns:c16r2="http://schemas.microsoft.com/office/drawing/2015/06/chart">
            <c:ext xmlns:c16="http://schemas.microsoft.com/office/drawing/2014/chart" uri="{C3380CC4-5D6E-409C-BE32-E72D297353CC}">
              <c16:uniqueId val="{00000005-1AB1-47A9-8F7A-3C7A886DD85D}"/>
            </c:ext>
          </c:extLst>
        </c:ser>
        <c:axId val="158644096"/>
        <c:axId val="158645632"/>
      </c:scatterChart>
      <c:valAx>
        <c:axId val="158644096"/>
        <c:scaling>
          <c:orientation val="minMax"/>
        </c:scaling>
        <c:axPos val="b"/>
        <c:numFmt formatCode="General" sourceLinked="1"/>
        <c:tickLblPos val="nextTo"/>
        <c:crossAx val="158645632"/>
        <c:crosses val="autoZero"/>
        <c:crossBetween val="midCat"/>
      </c:valAx>
      <c:valAx>
        <c:axId val="158645632"/>
        <c:scaling>
          <c:orientation val="minMax"/>
        </c:scaling>
        <c:axPos val="l"/>
        <c:majorGridlines/>
        <c:numFmt formatCode="General" sourceLinked="1"/>
        <c:tickLblPos val="nextTo"/>
        <c:crossAx val="15864409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a:t>Pa</a:t>
            </a:r>
            <a:r>
              <a:rPr lang="cs-CZ" baseline="0"/>
              <a:t> / mm H2O</a:t>
            </a:r>
            <a:endParaRPr lang="cs-CZ"/>
          </a:p>
        </c:rich>
      </c:tx>
    </c:title>
    <c:plotArea>
      <c:layout/>
      <c:scatterChart>
        <c:scatterStyle val="lineMarker"/>
        <c:ser>
          <c:idx val="0"/>
          <c:order val="0"/>
          <c:tx>
            <c:strRef>
              <c:f>Giacomini999!$N$31</c:f>
              <c:strCache>
                <c:ptCount val="1"/>
              </c:strCache>
            </c:strRef>
          </c:tx>
          <c:xVal>
            <c:numRef>
              <c:f>Giacomini999!$I$32:$I$46</c:f>
              <c:numCache>
                <c:formatCode>General</c:formatCode>
                <c:ptCount val="15"/>
                <c:pt idx="0">
                  <c:v>10</c:v>
                </c:pt>
                <c:pt idx="1">
                  <c:v>12</c:v>
                </c:pt>
                <c:pt idx="2">
                  <c:v>14</c:v>
                </c:pt>
                <c:pt idx="3">
                  <c:v>15</c:v>
                </c:pt>
                <c:pt idx="4">
                  <c:v>16</c:v>
                </c:pt>
                <c:pt idx="5">
                  <c:v>20</c:v>
                </c:pt>
                <c:pt idx="6">
                  <c:v>26</c:v>
                </c:pt>
                <c:pt idx="8">
                  <c:v>10</c:v>
                </c:pt>
                <c:pt idx="9">
                  <c:v>12</c:v>
                </c:pt>
                <c:pt idx="10">
                  <c:v>14</c:v>
                </c:pt>
                <c:pt idx="11">
                  <c:v>15</c:v>
                </c:pt>
                <c:pt idx="12">
                  <c:v>16</c:v>
                </c:pt>
                <c:pt idx="13">
                  <c:v>20</c:v>
                </c:pt>
                <c:pt idx="14">
                  <c:v>26</c:v>
                </c:pt>
              </c:numCache>
            </c:numRef>
          </c:xVal>
          <c:yVal>
            <c:numRef>
              <c:f>Giacomini999!$N$32:$N$46</c:f>
              <c:numCache>
                <c:formatCode>General</c:formatCode>
                <c:ptCount val="15"/>
                <c:pt idx="0">
                  <c:v>9.9418261674739732</c:v>
                </c:pt>
                <c:pt idx="1">
                  <c:v>9.9168231192423502</c:v>
                </c:pt>
                <c:pt idx="2">
                  <c:v>9.9943144837769644</c:v>
                </c:pt>
                <c:pt idx="3">
                  <c:v>10.008068776087971</c:v>
                </c:pt>
                <c:pt idx="4">
                  <c:v>10.134002910326569</c:v>
                </c:pt>
                <c:pt idx="5">
                  <c:v>9.9127919476435817</c:v>
                </c:pt>
                <c:pt idx="6">
                  <c:v>10.034814030268121</c:v>
                </c:pt>
                <c:pt idx="8">
                  <c:v>9.8873660817605007</c:v>
                </c:pt>
                <c:pt idx="9">
                  <c:v>10.167285232395114</c:v>
                </c:pt>
                <c:pt idx="10">
                  <c:v>10.172648433663257</c:v>
                </c:pt>
                <c:pt idx="11">
                  <c:v>9.8539267489820137</c:v>
                </c:pt>
                <c:pt idx="12">
                  <c:v>9.8972220348450577</c:v>
                </c:pt>
                <c:pt idx="13">
                  <c:v>9.9617392264716607</c:v>
                </c:pt>
                <c:pt idx="14">
                  <c:v>10.095240516028818</c:v>
                </c:pt>
              </c:numCache>
            </c:numRef>
          </c:yVal>
          <c:extLst xmlns:c16r2="http://schemas.microsoft.com/office/drawing/2015/06/chart">
            <c:ext xmlns:c16="http://schemas.microsoft.com/office/drawing/2014/chart" uri="{C3380CC4-5D6E-409C-BE32-E72D297353CC}">
              <c16:uniqueId val="{00000000-F293-497E-AEDF-337A8854B114}"/>
            </c:ext>
          </c:extLst>
        </c:ser>
        <c:axId val="158685824"/>
        <c:axId val="158704000"/>
      </c:scatterChart>
      <c:valAx>
        <c:axId val="158685824"/>
        <c:scaling>
          <c:orientation val="minMax"/>
        </c:scaling>
        <c:axPos val="b"/>
        <c:numFmt formatCode="General" sourceLinked="1"/>
        <c:tickLblPos val="nextTo"/>
        <c:crossAx val="158704000"/>
        <c:crosses val="autoZero"/>
        <c:crossBetween val="midCat"/>
      </c:valAx>
      <c:valAx>
        <c:axId val="158704000"/>
        <c:scaling>
          <c:orientation val="minMax"/>
        </c:scaling>
        <c:axPos val="l"/>
        <c:majorGridlines/>
        <c:numFmt formatCode="General" sourceLinked="1"/>
        <c:tickLblPos val="nextTo"/>
        <c:crossAx val="15868582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0" i="0" u="none" strike="noStrike" baseline="0"/>
              <a:t>Zdvih termohlavice v závislosti na teplotě    mm/°C</a:t>
            </a:r>
            <a:r>
              <a:rPr lang="cs-CZ" sz="1000" b="1" i="0" u="none" strike="noStrike" baseline="0"/>
              <a:t> </a:t>
            </a:r>
            <a:endParaRPr lang="cs-CZ" sz="1000" baseline="0"/>
          </a:p>
        </c:rich>
      </c:tx>
    </c:title>
    <c:plotArea>
      <c:layout/>
      <c:scatterChart>
        <c:scatterStyle val="lineMarker"/>
        <c:ser>
          <c:idx val="0"/>
          <c:order val="0"/>
          <c:tx>
            <c:strRef>
              <c:f>termohlavice!$D$5</c:f>
              <c:strCache>
                <c:ptCount val="1"/>
                <c:pt idx="0">
                  <c:v>mm</c:v>
                </c:pt>
              </c:strCache>
            </c:strRef>
          </c:tx>
          <c:xVal>
            <c:numRef>
              <c:f>termohlavice!$C$6:$C$10</c:f>
              <c:numCache>
                <c:formatCode>General</c:formatCode>
                <c:ptCount val="5"/>
                <c:pt idx="0">
                  <c:v>27</c:v>
                </c:pt>
                <c:pt idx="1">
                  <c:v>24</c:v>
                </c:pt>
                <c:pt idx="2">
                  <c:v>21</c:v>
                </c:pt>
                <c:pt idx="3">
                  <c:v>18</c:v>
                </c:pt>
                <c:pt idx="4">
                  <c:v>15</c:v>
                </c:pt>
              </c:numCache>
            </c:numRef>
          </c:xVal>
          <c:yVal>
            <c:numRef>
              <c:f>termohlavice!$D$6:$D$10</c:f>
              <c:numCache>
                <c:formatCode>General</c:formatCode>
                <c:ptCount val="5"/>
                <c:pt idx="0">
                  <c:v>12.9</c:v>
                </c:pt>
                <c:pt idx="1">
                  <c:v>12.2</c:v>
                </c:pt>
                <c:pt idx="2">
                  <c:v>11.25</c:v>
                </c:pt>
                <c:pt idx="3">
                  <c:v>10</c:v>
                </c:pt>
                <c:pt idx="4">
                  <c:v>9.3000000000000007</c:v>
                </c:pt>
              </c:numCache>
            </c:numRef>
          </c:yVal>
          <c:extLst xmlns:c16r2="http://schemas.microsoft.com/office/drawing/2015/06/chart">
            <c:ext xmlns:c16="http://schemas.microsoft.com/office/drawing/2014/chart" uri="{C3380CC4-5D6E-409C-BE32-E72D297353CC}">
              <c16:uniqueId val="{00000000-C772-47A1-8AFF-D470C738CDE8}"/>
            </c:ext>
          </c:extLst>
        </c:ser>
        <c:ser>
          <c:idx val="1"/>
          <c:order val="1"/>
          <c:tx>
            <c:strRef>
              <c:f>termohlavice!$E$5</c:f>
              <c:strCache>
                <c:ptCount val="1"/>
                <c:pt idx="0">
                  <c:v>0,3</c:v>
                </c:pt>
              </c:strCache>
            </c:strRef>
          </c:tx>
          <c:xVal>
            <c:numRef>
              <c:f>termohlavice!$C$6:$C$10</c:f>
              <c:numCache>
                <c:formatCode>General</c:formatCode>
                <c:ptCount val="5"/>
                <c:pt idx="0">
                  <c:v>27</c:v>
                </c:pt>
                <c:pt idx="1">
                  <c:v>24</c:v>
                </c:pt>
                <c:pt idx="2">
                  <c:v>21</c:v>
                </c:pt>
                <c:pt idx="3">
                  <c:v>18</c:v>
                </c:pt>
                <c:pt idx="4">
                  <c:v>15</c:v>
                </c:pt>
              </c:numCache>
            </c:numRef>
          </c:xVal>
          <c:yVal>
            <c:numRef>
              <c:f>termohlavice!$E$6:$E$10</c:f>
              <c:numCache>
                <c:formatCode>General</c:formatCode>
                <c:ptCount val="5"/>
                <c:pt idx="0">
                  <c:v>12.899999999999999</c:v>
                </c:pt>
                <c:pt idx="1">
                  <c:v>12</c:v>
                </c:pt>
                <c:pt idx="2">
                  <c:v>11.1</c:v>
                </c:pt>
                <c:pt idx="3">
                  <c:v>10.199999999999999</c:v>
                </c:pt>
                <c:pt idx="4">
                  <c:v>9.2999999999999989</c:v>
                </c:pt>
              </c:numCache>
            </c:numRef>
          </c:yVal>
          <c:extLst xmlns:c16r2="http://schemas.microsoft.com/office/drawing/2015/06/chart">
            <c:ext xmlns:c16="http://schemas.microsoft.com/office/drawing/2014/chart" uri="{C3380CC4-5D6E-409C-BE32-E72D297353CC}">
              <c16:uniqueId val="{00000001-C772-47A1-8AFF-D470C738CDE8}"/>
            </c:ext>
          </c:extLst>
        </c:ser>
        <c:ser>
          <c:idx val="2"/>
          <c:order val="2"/>
          <c:tx>
            <c:strRef>
              <c:f>termohlavice!$F$5</c:f>
              <c:strCache>
                <c:ptCount val="1"/>
              </c:strCache>
            </c:strRef>
          </c:tx>
          <c:xVal>
            <c:numRef>
              <c:f>termohlavice!$C$6:$C$10</c:f>
              <c:numCache>
                <c:formatCode>General</c:formatCode>
                <c:ptCount val="5"/>
                <c:pt idx="0">
                  <c:v>27</c:v>
                </c:pt>
                <c:pt idx="1">
                  <c:v>24</c:v>
                </c:pt>
                <c:pt idx="2">
                  <c:v>21</c:v>
                </c:pt>
                <c:pt idx="3">
                  <c:v>18</c:v>
                </c:pt>
                <c:pt idx="4">
                  <c:v>15</c:v>
                </c:pt>
              </c:numCache>
            </c:numRef>
          </c:xVal>
          <c:yVal>
            <c:numRef>
              <c:f>termohlavice!$F$6:$F$10</c:f>
              <c:numCache>
                <c:formatCode>General</c:formatCode>
                <c:ptCount val="5"/>
                <c:pt idx="0">
                  <c:v>11.5</c:v>
                </c:pt>
                <c:pt idx="1">
                  <c:v>11.5</c:v>
                </c:pt>
                <c:pt idx="2">
                  <c:v>11.5</c:v>
                </c:pt>
                <c:pt idx="3">
                  <c:v>11.5</c:v>
                </c:pt>
                <c:pt idx="4">
                  <c:v>11.5</c:v>
                </c:pt>
              </c:numCache>
            </c:numRef>
          </c:yVal>
          <c:extLst xmlns:c16r2="http://schemas.microsoft.com/office/drawing/2015/06/chart">
            <c:ext xmlns:c16="http://schemas.microsoft.com/office/drawing/2014/chart" uri="{C3380CC4-5D6E-409C-BE32-E72D297353CC}">
              <c16:uniqueId val="{00000002-C772-47A1-8AFF-D470C738CDE8}"/>
            </c:ext>
          </c:extLst>
        </c:ser>
        <c:ser>
          <c:idx val="3"/>
          <c:order val="3"/>
          <c:tx>
            <c:strRef>
              <c:f>termohlavice!$G$5</c:f>
              <c:strCache>
                <c:ptCount val="1"/>
                <c:pt idx="0">
                  <c:v>skutečná poloha/teplota</c:v>
                </c:pt>
              </c:strCache>
            </c:strRef>
          </c:tx>
          <c:xVal>
            <c:numRef>
              <c:f>termohlavice!$C$6:$C$10</c:f>
              <c:numCache>
                <c:formatCode>General</c:formatCode>
                <c:ptCount val="5"/>
                <c:pt idx="0">
                  <c:v>27</c:v>
                </c:pt>
                <c:pt idx="1">
                  <c:v>24</c:v>
                </c:pt>
                <c:pt idx="2">
                  <c:v>21</c:v>
                </c:pt>
                <c:pt idx="3">
                  <c:v>18</c:v>
                </c:pt>
                <c:pt idx="4">
                  <c:v>15</c:v>
                </c:pt>
              </c:numCache>
            </c:numRef>
          </c:xVal>
          <c:yVal>
            <c:numRef>
              <c:f>termohlavice!$G$6:$G$10</c:f>
              <c:numCache>
                <c:formatCode>General</c:formatCode>
                <c:ptCount val="5"/>
                <c:pt idx="0">
                  <c:v>10.1</c:v>
                </c:pt>
                <c:pt idx="1">
                  <c:v>10.8</c:v>
                </c:pt>
                <c:pt idx="2">
                  <c:v>11.75</c:v>
                </c:pt>
                <c:pt idx="3">
                  <c:v>13</c:v>
                </c:pt>
                <c:pt idx="4">
                  <c:v>13.7</c:v>
                </c:pt>
              </c:numCache>
            </c:numRef>
          </c:yVal>
          <c:extLst xmlns:c16r2="http://schemas.microsoft.com/office/drawing/2015/06/chart">
            <c:ext xmlns:c16="http://schemas.microsoft.com/office/drawing/2014/chart" uri="{C3380CC4-5D6E-409C-BE32-E72D297353CC}">
              <c16:uniqueId val="{00000003-C772-47A1-8AFF-D470C738CDE8}"/>
            </c:ext>
          </c:extLst>
        </c:ser>
        <c:axId val="158832896"/>
        <c:axId val="158892032"/>
      </c:scatterChart>
      <c:valAx>
        <c:axId val="158832896"/>
        <c:scaling>
          <c:orientation val="minMax"/>
          <c:min val="15"/>
        </c:scaling>
        <c:axPos val="b"/>
        <c:majorGridlines/>
        <c:minorGridlines/>
        <c:numFmt formatCode="General" sourceLinked="1"/>
        <c:tickLblPos val="nextTo"/>
        <c:crossAx val="158892032"/>
        <c:crosses val="autoZero"/>
        <c:crossBetween val="midCat"/>
        <c:majorUnit val="3"/>
        <c:minorUnit val="1"/>
      </c:valAx>
      <c:valAx>
        <c:axId val="158892032"/>
        <c:scaling>
          <c:orientation val="minMax"/>
          <c:min val="9"/>
        </c:scaling>
        <c:axPos val="l"/>
        <c:majorGridlines/>
        <c:numFmt formatCode="General" sourceLinked="1"/>
        <c:tickLblPos val="nextTo"/>
        <c:crossAx val="15883289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Zavírací tlak ventilu (barů) / teplota (°C)</a:t>
            </a:r>
          </a:p>
        </c:rich>
      </c:tx>
    </c:title>
    <c:plotArea>
      <c:layout/>
      <c:scatterChart>
        <c:scatterStyle val="lineMarker"/>
        <c:ser>
          <c:idx val="0"/>
          <c:order val="0"/>
          <c:tx>
            <c:strRef>
              <c:f>termohlavice!$K$61</c:f>
              <c:strCache>
                <c:ptCount val="1"/>
                <c:pt idx="0">
                  <c:v>barů</c:v>
                </c:pt>
              </c:strCache>
            </c:strRef>
          </c:tx>
          <c:xVal>
            <c:numRef>
              <c:f>termohlavice!$J$62:$J$66</c:f>
              <c:numCache>
                <c:formatCode>General</c:formatCode>
                <c:ptCount val="5"/>
                <c:pt idx="0">
                  <c:v>19.5</c:v>
                </c:pt>
                <c:pt idx="1">
                  <c:v>18.75</c:v>
                </c:pt>
                <c:pt idx="2">
                  <c:v>18</c:v>
                </c:pt>
                <c:pt idx="3">
                  <c:v>17.399999999999999</c:v>
                </c:pt>
                <c:pt idx="4">
                  <c:v>12</c:v>
                </c:pt>
              </c:numCache>
            </c:numRef>
          </c:xVal>
          <c:yVal>
            <c:numRef>
              <c:f>termohlavice!$K$62:$K$66</c:f>
              <c:numCache>
                <c:formatCode>General</c:formatCode>
                <c:ptCount val="5"/>
                <c:pt idx="0">
                  <c:v>0</c:v>
                </c:pt>
                <c:pt idx="1">
                  <c:v>1</c:v>
                </c:pt>
                <c:pt idx="2">
                  <c:v>2</c:v>
                </c:pt>
                <c:pt idx="3">
                  <c:v>2.8</c:v>
                </c:pt>
                <c:pt idx="4">
                  <c:v>2.8</c:v>
                </c:pt>
              </c:numCache>
            </c:numRef>
          </c:yVal>
          <c:extLst xmlns:c16r2="http://schemas.microsoft.com/office/drawing/2015/06/chart">
            <c:ext xmlns:c16="http://schemas.microsoft.com/office/drawing/2014/chart" uri="{C3380CC4-5D6E-409C-BE32-E72D297353CC}">
              <c16:uniqueId val="{00000000-4F07-4D73-AAA4-2264E88A5869}"/>
            </c:ext>
          </c:extLst>
        </c:ser>
        <c:axId val="158911872"/>
        <c:axId val="159061120"/>
      </c:scatterChart>
      <c:valAx>
        <c:axId val="158911872"/>
        <c:scaling>
          <c:orientation val="minMax"/>
          <c:max val="20"/>
          <c:min val="10"/>
        </c:scaling>
        <c:axPos val="b"/>
        <c:majorGridlines/>
        <c:minorGridlines/>
        <c:numFmt formatCode="General" sourceLinked="1"/>
        <c:tickLblPos val="nextTo"/>
        <c:crossAx val="159061120"/>
        <c:crosses val="autoZero"/>
        <c:crossBetween val="midCat"/>
      </c:valAx>
      <c:valAx>
        <c:axId val="159061120"/>
        <c:scaling>
          <c:orientation val="minMax"/>
        </c:scaling>
        <c:axPos val="l"/>
        <c:majorGridlines/>
        <c:numFmt formatCode="General" sourceLinked="1"/>
        <c:tickLblPos val="nextTo"/>
        <c:crossAx val="15891187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'10 těles'!$AZ$8:$AZ$15</c:f>
              <c:numCache>
                <c:formatCode>General</c:formatCode>
                <c:ptCount val="8"/>
                <c:pt idx="0">
                  <c:v>1</c:v>
                </c:pt>
                <c:pt idx="1">
                  <c:v>2</c:v>
                </c:pt>
                <c:pt idx="2">
                  <c:v>3</c:v>
                </c:pt>
                <c:pt idx="3">
                  <c:v>4</c:v>
                </c:pt>
                <c:pt idx="4">
                  <c:v>5</c:v>
                </c:pt>
                <c:pt idx="5">
                  <c:v>6</c:v>
                </c:pt>
                <c:pt idx="6">
                  <c:v>7</c:v>
                </c:pt>
                <c:pt idx="7">
                  <c:v>8</c:v>
                </c:pt>
              </c:numCache>
            </c:numRef>
          </c:xVal>
          <c:yVal>
            <c:numRef>
              <c:f>'10 těles'!$BF$8:$BF$15</c:f>
              <c:numCache>
                <c:formatCode>General</c:formatCode>
                <c:ptCount val="8"/>
                <c:pt idx="0">
                  <c:v>-9.4541789941732013E-2</c:v>
                </c:pt>
                <c:pt idx="1">
                  <c:v>-0.12634123571491163</c:v>
                </c:pt>
                <c:pt idx="2">
                  <c:v>3.8663953204802759E-3</c:v>
                </c:pt>
                <c:pt idx="3">
                  <c:v>-6.7485065177288472E-2</c:v>
                </c:pt>
                <c:pt idx="4">
                  <c:v>8.67758032910384E-2</c:v>
                </c:pt>
                <c:pt idx="5">
                  <c:v>0.3272239697941588</c:v>
                </c:pt>
                <c:pt idx="6">
                  <c:v>0.10415632632038996</c:v>
                </c:pt>
                <c:pt idx="7">
                  <c:v>-0.21430112067833118</c:v>
                </c:pt>
              </c:numCache>
            </c:numRef>
          </c:yVal>
          <c:extLst xmlns:c16r2="http://schemas.microsoft.com/office/drawing/2015/06/chart">
            <c:ext xmlns:c16="http://schemas.microsoft.com/office/drawing/2014/chart" uri="{C3380CC4-5D6E-409C-BE32-E72D297353CC}">
              <c16:uniqueId val="{00000000-D6A6-458A-92D9-684FE1C97F10}"/>
            </c:ext>
          </c:extLst>
        </c:ser>
        <c:ser>
          <c:idx val="1"/>
          <c:order val="1"/>
          <c:xVal>
            <c:numRef>
              <c:f>'10 těles'!$AZ$8:$AZ$15</c:f>
              <c:numCache>
                <c:formatCode>General</c:formatCode>
                <c:ptCount val="8"/>
                <c:pt idx="0">
                  <c:v>1</c:v>
                </c:pt>
                <c:pt idx="1">
                  <c:v>2</c:v>
                </c:pt>
                <c:pt idx="2">
                  <c:v>3</c:v>
                </c:pt>
                <c:pt idx="3">
                  <c:v>4</c:v>
                </c:pt>
                <c:pt idx="4">
                  <c:v>5</c:v>
                </c:pt>
                <c:pt idx="5">
                  <c:v>6</c:v>
                </c:pt>
                <c:pt idx="6">
                  <c:v>7</c:v>
                </c:pt>
                <c:pt idx="7">
                  <c:v>8</c:v>
                </c:pt>
              </c:numCache>
            </c:numRef>
          </c:xVal>
          <c:yVal>
            <c:numRef>
              <c:f>'10 těles'!$BG$8:$BG$15</c:f>
              <c:numCache>
                <c:formatCode>General</c:formatCode>
                <c:ptCount val="8"/>
                <c:pt idx="0">
                  <c:v>-9.9067173713429213E-2</c:v>
                </c:pt>
                <c:pt idx="1">
                  <c:v>0.15542941607698602</c:v>
                </c:pt>
                <c:pt idx="2">
                  <c:v>-8.1000000000002181E-3</c:v>
                </c:pt>
                <c:pt idx="3">
                  <c:v>-5.6800505904019971E-3</c:v>
                </c:pt>
                <c:pt idx="4">
                  <c:v>0.2347681159127184</c:v>
                </c:pt>
                <c:pt idx="5">
                  <c:v>0.24828806532231695</c:v>
                </c:pt>
                <c:pt idx="6">
                  <c:v>0.10520697259416689</c:v>
                </c:pt>
                <c:pt idx="7">
                  <c:v>-0.15249610609144426</c:v>
                </c:pt>
              </c:numCache>
            </c:numRef>
          </c:yVal>
          <c:extLst xmlns:c16r2="http://schemas.microsoft.com/office/drawing/2015/06/chart">
            <c:ext xmlns:c16="http://schemas.microsoft.com/office/drawing/2014/chart" uri="{C3380CC4-5D6E-409C-BE32-E72D297353CC}">
              <c16:uniqueId val="{00000001-D6A6-458A-92D9-684FE1C97F10}"/>
            </c:ext>
          </c:extLst>
        </c:ser>
        <c:ser>
          <c:idx val="2"/>
          <c:order val="2"/>
          <c:xVal>
            <c:numRef>
              <c:f>'10 těles'!$AZ$8:$AZ$15</c:f>
              <c:numCache>
                <c:formatCode>General</c:formatCode>
                <c:ptCount val="8"/>
                <c:pt idx="0">
                  <c:v>1</c:v>
                </c:pt>
                <c:pt idx="1">
                  <c:v>2</c:v>
                </c:pt>
                <c:pt idx="2">
                  <c:v>3</c:v>
                </c:pt>
                <c:pt idx="3">
                  <c:v>4</c:v>
                </c:pt>
                <c:pt idx="4">
                  <c:v>5</c:v>
                </c:pt>
                <c:pt idx="5">
                  <c:v>6</c:v>
                </c:pt>
                <c:pt idx="6">
                  <c:v>7</c:v>
                </c:pt>
                <c:pt idx="7">
                  <c:v>8</c:v>
                </c:pt>
              </c:numCache>
            </c:numRef>
          </c:xVal>
          <c:yVal>
            <c:numRef>
              <c:f>'10 těles'!$BH$8:$BH$15</c:f>
              <c:numCache>
                <c:formatCode>General</c:formatCode>
                <c:ptCount val="8"/>
                <c:pt idx="0">
                  <c:v>-9.9532304660082005E-2</c:v>
                </c:pt>
                <c:pt idx="1">
                  <c:v>0.13125134091408519</c:v>
                </c:pt>
                <c:pt idx="2">
                  <c:v>-5.1903212300410395E-2</c:v>
                </c:pt>
                <c:pt idx="3">
                  <c:v>5.1630942388325884E-2</c:v>
                </c:pt>
                <c:pt idx="4">
                  <c:v>0.13093827934878632</c:v>
                </c:pt>
                <c:pt idx="5">
                  <c:v>0.2166536508728516</c:v>
                </c:pt>
                <c:pt idx="6">
                  <c:v>4.7895979615435458E-2</c:v>
                </c:pt>
                <c:pt idx="7">
                  <c:v>-0.22914266419322438</c:v>
                </c:pt>
              </c:numCache>
            </c:numRef>
          </c:yVal>
          <c:extLst xmlns:c16r2="http://schemas.microsoft.com/office/drawing/2015/06/chart">
            <c:ext xmlns:c16="http://schemas.microsoft.com/office/drawing/2014/chart" uri="{C3380CC4-5D6E-409C-BE32-E72D297353CC}">
              <c16:uniqueId val="{00000002-D6A6-458A-92D9-684FE1C97F10}"/>
            </c:ext>
          </c:extLst>
        </c:ser>
        <c:axId val="151222144"/>
        <c:axId val="151223680"/>
      </c:scatterChart>
      <c:valAx>
        <c:axId val="151222144"/>
        <c:scaling>
          <c:orientation val="minMax"/>
        </c:scaling>
        <c:axPos val="b"/>
        <c:numFmt formatCode="General" sourceLinked="1"/>
        <c:tickLblPos val="nextTo"/>
        <c:crossAx val="151223680"/>
        <c:crosses val="autoZero"/>
        <c:crossBetween val="midCat"/>
      </c:valAx>
      <c:valAx>
        <c:axId val="151223680"/>
        <c:scaling>
          <c:orientation val="minMax"/>
        </c:scaling>
        <c:axPos val="l"/>
        <c:majorGridlines/>
        <c:numFmt formatCode="General" sourceLinked="1"/>
        <c:tickLblPos val="nextTo"/>
        <c:crossAx val="15122214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Tlak na osu(kg - kp)/ tlak vody při malém průtoku (bar)</a:t>
            </a:r>
            <a:endParaRPr lang="en-US" sz="1000" baseline="0"/>
          </a:p>
        </c:rich>
      </c:tx>
    </c:title>
    <c:plotArea>
      <c:layout/>
      <c:scatterChart>
        <c:scatterStyle val="lineMarker"/>
        <c:ser>
          <c:idx val="0"/>
          <c:order val="0"/>
          <c:tx>
            <c:strRef>
              <c:f>termohlavice!$B$60</c:f>
              <c:strCache>
                <c:ptCount val="1"/>
                <c:pt idx="0">
                  <c:v>bar</c:v>
                </c:pt>
              </c:strCache>
            </c:strRef>
          </c:tx>
          <c:xVal>
            <c:numRef>
              <c:f>termohlavice!$A$61:$A$64</c:f>
              <c:numCache>
                <c:formatCode>General</c:formatCode>
                <c:ptCount val="4"/>
                <c:pt idx="0">
                  <c:v>4</c:v>
                </c:pt>
                <c:pt idx="1">
                  <c:v>5.5</c:v>
                </c:pt>
                <c:pt idx="2">
                  <c:v>7</c:v>
                </c:pt>
                <c:pt idx="3">
                  <c:v>8.5</c:v>
                </c:pt>
              </c:numCache>
            </c:numRef>
          </c:xVal>
          <c:yVal>
            <c:numRef>
              <c:f>termohlavice!$B$61:$B$64</c:f>
              <c:numCache>
                <c:formatCode>General</c:formatCode>
                <c:ptCount val="4"/>
                <c:pt idx="0">
                  <c:v>0</c:v>
                </c:pt>
                <c:pt idx="1">
                  <c:v>1</c:v>
                </c:pt>
                <c:pt idx="2">
                  <c:v>2</c:v>
                </c:pt>
                <c:pt idx="3">
                  <c:v>3</c:v>
                </c:pt>
              </c:numCache>
            </c:numRef>
          </c:yVal>
          <c:extLst xmlns:c16r2="http://schemas.microsoft.com/office/drawing/2015/06/chart">
            <c:ext xmlns:c16="http://schemas.microsoft.com/office/drawing/2014/chart" uri="{C3380CC4-5D6E-409C-BE32-E72D297353CC}">
              <c16:uniqueId val="{00000000-F5F1-4757-9755-D7E139B88F22}"/>
            </c:ext>
          </c:extLst>
        </c:ser>
        <c:axId val="159097216"/>
        <c:axId val="159098752"/>
      </c:scatterChart>
      <c:valAx>
        <c:axId val="159097216"/>
        <c:scaling>
          <c:orientation val="minMax"/>
        </c:scaling>
        <c:axPos val="b"/>
        <c:numFmt formatCode="General" sourceLinked="1"/>
        <c:tickLblPos val="nextTo"/>
        <c:crossAx val="159098752"/>
        <c:crosses val="autoZero"/>
        <c:crossBetween val="midCat"/>
      </c:valAx>
      <c:valAx>
        <c:axId val="159098752"/>
        <c:scaling>
          <c:orientation val="minMax"/>
        </c:scaling>
        <c:axPos val="l"/>
        <c:majorGridlines/>
        <c:numFmt formatCode="General" sourceLinked="1"/>
        <c:tickLblPos val="nextTo"/>
        <c:crossAx val="159097216"/>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termohlavice!$F$78:$F$80</c:f>
              <c:numCache>
                <c:formatCode>General</c:formatCode>
                <c:ptCount val="3"/>
                <c:pt idx="0">
                  <c:v>0.75</c:v>
                </c:pt>
                <c:pt idx="1">
                  <c:v>0.5</c:v>
                </c:pt>
                <c:pt idx="2">
                  <c:v>0.25</c:v>
                </c:pt>
              </c:numCache>
            </c:numRef>
          </c:xVal>
          <c:yVal>
            <c:numRef>
              <c:f>termohlavice!$G$78:$G$80</c:f>
              <c:numCache>
                <c:formatCode>General</c:formatCode>
                <c:ptCount val="3"/>
                <c:pt idx="0">
                  <c:v>0.104</c:v>
                </c:pt>
                <c:pt idx="1">
                  <c:v>7.2999999999999995E-2</c:v>
                </c:pt>
                <c:pt idx="2">
                  <c:v>3.7999999999999999E-2</c:v>
                </c:pt>
              </c:numCache>
            </c:numRef>
          </c:yVal>
          <c:extLst xmlns:c16r2="http://schemas.microsoft.com/office/drawing/2015/06/chart">
            <c:ext xmlns:c16="http://schemas.microsoft.com/office/drawing/2014/chart" uri="{C3380CC4-5D6E-409C-BE32-E72D297353CC}">
              <c16:uniqueId val="{00000000-F5A4-4EE5-B2BE-8416012E18EC}"/>
            </c:ext>
          </c:extLst>
        </c:ser>
        <c:ser>
          <c:idx val="1"/>
          <c:order val="1"/>
          <c:xVal>
            <c:numRef>
              <c:f>termohlavice!$F$78:$F$80</c:f>
              <c:numCache>
                <c:formatCode>General</c:formatCode>
                <c:ptCount val="3"/>
                <c:pt idx="0">
                  <c:v>0.75</c:v>
                </c:pt>
                <c:pt idx="1">
                  <c:v>0.5</c:v>
                </c:pt>
                <c:pt idx="2">
                  <c:v>0.25</c:v>
                </c:pt>
              </c:numCache>
            </c:numRef>
          </c:xVal>
          <c:yVal>
            <c:numRef>
              <c:f>termohlavice!$H$78:$H$80</c:f>
              <c:numCache>
                <c:formatCode>General</c:formatCode>
                <c:ptCount val="3"/>
                <c:pt idx="0">
                  <c:v>0.20300000000000001</c:v>
                </c:pt>
                <c:pt idx="1">
                  <c:v>0.17399999999999999</c:v>
                </c:pt>
                <c:pt idx="2">
                  <c:v>8.8999999999999996E-2</c:v>
                </c:pt>
              </c:numCache>
            </c:numRef>
          </c:yVal>
          <c:extLst xmlns:c16r2="http://schemas.microsoft.com/office/drawing/2015/06/chart">
            <c:ext xmlns:c16="http://schemas.microsoft.com/office/drawing/2014/chart" uri="{C3380CC4-5D6E-409C-BE32-E72D297353CC}">
              <c16:uniqueId val="{00000001-F5A4-4EE5-B2BE-8416012E18EC}"/>
            </c:ext>
          </c:extLst>
        </c:ser>
        <c:ser>
          <c:idx val="2"/>
          <c:order val="2"/>
          <c:xVal>
            <c:numRef>
              <c:f>termohlavice!$F$78:$F$80</c:f>
              <c:numCache>
                <c:formatCode>General</c:formatCode>
                <c:ptCount val="3"/>
                <c:pt idx="0">
                  <c:v>0.75</c:v>
                </c:pt>
                <c:pt idx="1">
                  <c:v>0.5</c:v>
                </c:pt>
                <c:pt idx="2">
                  <c:v>0.25</c:v>
                </c:pt>
              </c:numCache>
            </c:numRef>
          </c:xVal>
          <c:yVal>
            <c:numRef>
              <c:f>termohlavice!$I$78:$I$80</c:f>
              <c:numCache>
                <c:formatCode>General</c:formatCode>
                <c:ptCount val="3"/>
                <c:pt idx="0">
                  <c:v>0.307</c:v>
                </c:pt>
                <c:pt idx="1">
                  <c:v>0.28499999999999998</c:v>
                </c:pt>
                <c:pt idx="2">
                  <c:v>0.14899999999999999</c:v>
                </c:pt>
              </c:numCache>
            </c:numRef>
          </c:yVal>
          <c:extLst xmlns:c16r2="http://schemas.microsoft.com/office/drawing/2015/06/chart">
            <c:ext xmlns:c16="http://schemas.microsoft.com/office/drawing/2014/chart" uri="{C3380CC4-5D6E-409C-BE32-E72D297353CC}">
              <c16:uniqueId val="{00000002-F5A4-4EE5-B2BE-8416012E18EC}"/>
            </c:ext>
          </c:extLst>
        </c:ser>
        <c:ser>
          <c:idx val="3"/>
          <c:order val="3"/>
          <c:xVal>
            <c:numRef>
              <c:f>termohlavice!$F$78:$F$80</c:f>
              <c:numCache>
                <c:formatCode>General</c:formatCode>
                <c:ptCount val="3"/>
                <c:pt idx="0">
                  <c:v>0.75</c:v>
                </c:pt>
                <c:pt idx="1">
                  <c:v>0.5</c:v>
                </c:pt>
                <c:pt idx="2">
                  <c:v>0.25</c:v>
                </c:pt>
              </c:numCache>
            </c:numRef>
          </c:xVal>
          <c:yVal>
            <c:numRef>
              <c:f>termohlavice!$J$78:$J$80</c:f>
              <c:numCache>
                <c:formatCode>General</c:formatCode>
                <c:ptCount val="3"/>
                <c:pt idx="0">
                  <c:v>0.45600000000000002</c:v>
                </c:pt>
                <c:pt idx="1">
                  <c:v>0.36099999999999999</c:v>
                </c:pt>
                <c:pt idx="2">
                  <c:v>0.187</c:v>
                </c:pt>
              </c:numCache>
            </c:numRef>
          </c:yVal>
          <c:extLst xmlns:c16r2="http://schemas.microsoft.com/office/drawing/2015/06/chart">
            <c:ext xmlns:c16="http://schemas.microsoft.com/office/drawing/2014/chart" uri="{C3380CC4-5D6E-409C-BE32-E72D297353CC}">
              <c16:uniqueId val="{00000003-F5A4-4EE5-B2BE-8416012E18EC}"/>
            </c:ext>
          </c:extLst>
        </c:ser>
        <c:ser>
          <c:idx val="4"/>
          <c:order val="4"/>
          <c:xVal>
            <c:numRef>
              <c:f>termohlavice!$F$78:$F$80</c:f>
              <c:numCache>
                <c:formatCode>General</c:formatCode>
                <c:ptCount val="3"/>
                <c:pt idx="0">
                  <c:v>0.75</c:v>
                </c:pt>
                <c:pt idx="1">
                  <c:v>0.5</c:v>
                </c:pt>
                <c:pt idx="2">
                  <c:v>0.25</c:v>
                </c:pt>
              </c:numCache>
            </c:numRef>
          </c:xVal>
          <c:yVal>
            <c:numRef>
              <c:f>termohlavice!$K$78:$K$80</c:f>
              <c:numCache>
                <c:formatCode>General</c:formatCode>
                <c:ptCount val="3"/>
                <c:pt idx="0">
                  <c:v>0.69</c:v>
                </c:pt>
                <c:pt idx="1">
                  <c:v>0.443</c:v>
                </c:pt>
                <c:pt idx="2">
                  <c:v>0.23100000000000001</c:v>
                </c:pt>
              </c:numCache>
            </c:numRef>
          </c:yVal>
          <c:extLst xmlns:c16r2="http://schemas.microsoft.com/office/drawing/2015/06/chart">
            <c:ext xmlns:c16="http://schemas.microsoft.com/office/drawing/2014/chart" uri="{C3380CC4-5D6E-409C-BE32-E72D297353CC}">
              <c16:uniqueId val="{00000004-F5A4-4EE5-B2BE-8416012E18EC}"/>
            </c:ext>
          </c:extLst>
        </c:ser>
        <c:ser>
          <c:idx val="5"/>
          <c:order val="5"/>
          <c:xVal>
            <c:numRef>
              <c:f>termohlavice!$F$78:$F$80</c:f>
              <c:numCache>
                <c:formatCode>General</c:formatCode>
                <c:ptCount val="3"/>
                <c:pt idx="0">
                  <c:v>0.75</c:v>
                </c:pt>
                <c:pt idx="1">
                  <c:v>0.5</c:v>
                </c:pt>
                <c:pt idx="2">
                  <c:v>0.25</c:v>
                </c:pt>
              </c:numCache>
            </c:numRef>
          </c:xVal>
          <c:yVal>
            <c:numRef>
              <c:f>termohlavice!$L$78:$L$80</c:f>
              <c:numCache>
                <c:formatCode>General</c:formatCode>
                <c:ptCount val="3"/>
                <c:pt idx="0">
                  <c:v>0.66764250000000003</c:v>
                </c:pt>
                <c:pt idx="1">
                  <c:v>0.44509499999999996</c:v>
                </c:pt>
                <c:pt idx="2">
                  <c:v>0.22254749999999998</c:v>
                </c:pt>
              </c:numCache>
            </c:numRef>
          </c:yVal>
          <c:extLst xmlns:c16r2="http://schemas.microsoft.com/office/drawing/2015/06/chart">
            <c:ext xmlns:c16="http://schemas.microsoft.com/office/drawing/2014/chart" uri="{C3380CC4-5D6E-409C-BE32-E72D297353CC}">
              <c16:uniqueId val="{00000005-F5A4-4EE5-B2BE-8416012E18EC}"/>
            </c:ext>
          </c:extLst>
        </c:ser>
        <c:axId val="158930048"/>
        <c:axId val="158931584"/>
      </c:scatterChart>
      <c:valAx>
        <c:axId val="158930048"/>
        <c:scaling>
          <c:orientation val="minMax"/>
        </c:scaling>
        <c:axPos val="b"/>
        <c:numFmt formatCode="General" sourceLinked="1"/>
        <c:tickLblPos val="nextTo"/>
        <c:crossAx val="158931584"/>
        <c:crosses val="autoZero"/>
        <c:crossBetween val="midCat"/>
      </c:valAx>
      <c:valAx>
        <c:axId val="158931584"/>
        <c:scaling>
          <c:orientation val="minMax"/>
        </c:scaling>
        <c:axPos val="l"/>
        <c:majorGridlines/>
        <c:numFmt formatCode="General" sourceLinked="1"/>
        <c:tickLblPos val="nextTo"/>
        <c:crossAx val="15893004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termohlavice!$Q$86:$Q$111</c:f>
              <c:numCache>
                <c:formatCode>General</c:formatCode>
                <c:ptCount val="26"/>
                <c:pt idx="0">
                  <c:v>1</c:v>
                </c:pt>
                <c:pt idx="1">
                  <c:v>2</c:v>
                </c:pt>
                <c:pt idx="2">
                  <c:v>3</c:v>
                </c:pt>
                <c:pt idx="3">
                  <c:v>4</c:v>
                </c:pt>
                <c:pt idx="4">
                  <c:v>5</c:v>
                </c:pt>
                <c:pt idx="5">
                  <c:v>6</c:v>
                </c:pt>
                <c:pt idx="6">
                  <c:v>7</c:v>
                </c:pt>
                <c:pt idx="7">
                  <c:v>8</c:v>
                </c:pt>
                <c:pt idx="12">
                  <c:v>0.5</c:v>
                </c:pt>
                <c:pt idx="13">
                  <c:v>1.5</c:v>
                </c:pt>
                <c:pt idx="14">
                  <c:v>2.5</c:v>
                </c:pt>
                <c:pt idx="15">
                  <c:v>3.5</c:v>
                </c:pt>
                <c:pt idx="16">
                  <c:v>4.5</c:v>
                </c:pt>
                <c:pt idx="17">
                  <c:v>5.5</c:v>
                </c:pt>
                <c:pt idx="18">
                  <c:v>6.5</c:v>
                </c:pt>
                <c:pt idx="20">
                  <c:v>1</c:v>
                </c:pt>
                <c:pt idx="21">
                  <c:v>2</c:v>
                </c:pt>
                <c:pt idx="22">
                  <c:v>3</c:v>
                </c:pt>
                <c:pt idx="23">
                  <c:v>4</c:v>
                </c:pt>
                <c:pt idx="24">
                  <c:v>5</c:v>
                </c:pt>
                <c:pt idx="25">
                  <c:v>6</c:v>
                </c:pt>
              </c:numCache>
            </c:numRef>
          </c:xVal>
          <c:yVal>
            <c:numRef>
              <c:f>termohlavice!$V$86:$V$111</c:f>
              <c:numCache>
                <c:formatCode>General</c:formatCode>
                <c:ptCount val="26"/>
                <c:pt idx="0">
                  <c:v>1.8371704427023923</c:v>
                </c:pt>
                <c:pt idx="1">
                  <c:v>2.2583832762825553</c:v>
                </c:pt>
                <c:pt idx="2">
                  <c:v>2.8723643993110297</c:v>
                </c:pt>
                <c:pt idx="3">
                  <c:v>3.1225893123784649</c:v>
                </c:pt>
                <c:pt idx="4">
                  <c:v>3.4642018086142756</c:v>
                </c:pt>
                <c:pt idx="5">
                  <c:v>3.8730953659196179</c:v>
                </c:pt>
                <c:pt idx="6">
                  <c:v>4.1534320592173195</c:v>
                </c:pt>
                <c:pt idx="7">
                  <c:v>4.4160081552869022</c:v>
                </c:pt>
                <c:pt idx="12">
                  <c:v>0.79785054578954751</c:v>
                </c:pt>
                <c:pt idx="13">
                  <c:v>1.1167581303916896</c:v>
                </c:pt>
                <c:pt idx="14">
                  <c:v>1.8021606836453106</c:v>
                </c:pt>
                <c:pt idx="15">
                  <c:v>2.6486244656617846</c:v>
                </c:pt>
                <c:pt idx="16">
                  <c:v>3.3034150989111999</c:v>
                </c:pt>
                <c:pt idx="17">
                  <c:v>3.9483362347258719</c:v>
                </c:pt>
                <c:pt idx="18">
                  <c:v>4.7270231575672756</c:v>
                </c:pt>
                <c:pt idx="20">
                  <c:v>0.95730433809061855</c:v>
                </c:pt>
                <c:pt idx="21">
                  <c:v>1.4594594070185001</c:v>
                </c:pt>
                <c:pt idx="22">
                  <c:v>2.2253925746535477</c:v>
                </c:pt>
                <c:pt idx="23">
                  <c:v>2.9760197822864924</c:v>
                </c:pt>
                <c:pt idx="24">
                  <c:v>3.6258756668185361</c:v>
                </c:pt>
                <c:pt idx="25">
                  <c:v>4.3376796961465738</c:v>
                </c:pt>
              </c:numCache>
            </c:numRef>
          </c:yVal>
          <c:extLst xmlns:c16r2="http://schemas.microsoft.com/office/drawing/2015/06/chart">
            <c:ext xmlns:c16="http://schemas.microsoft.com/office/drawing/2014/chart" uri="{C3380CC4-5D6E-409C-BE32-E72D297353CC}">
              <c16:uniqueId val="{00000000-DDAE-4CD0-BC1C-434F19495CF0}"/>
            </c:ext>
          </c:extLst>
        </c:ser>
        <c:axId val="158971776"/>
        <c:axId val="158973312"/>
      </c:scatterChart>
      <c:valAx>
        <c:axId val="158971776"/>
        <c:scaling>
          <c:orientation val="minMax"/>
        </c:scaling>
        <c:axPos val="b"/>
        <c:numFmt formatCode="General" sourceLinked="1"/>
        <c:tickLblPos val="nextTo"/>
        <c:crossAx val="158973312"/>
        <c:crosses val="autoZero"/>
        <c:crossBetween val="midCat"/>
      </c:valAx>
      <c:valAx>
        <c:axId val="158973312"/>
        <c:scaling>
          <c:orientation val="minMax"/>
        </c:scaling>
        <c:axPos val="l"/>
        <c:majorGridlines/>
        <c:numFmt formatCode="General" sourceLinked="1"/>
        <c:tickLblPos val="nextTo"/>
        <c:crossAx val="15897177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termohlavice!$Q$106:$Q$111</c:f>
              <c:numCache>
                <c:formatCode>General</c:formatCode>
                <c:ptCount val="6"/>
                <c:pt idx="0">
                  <c:v>1</c:v>
                </c:pt>
                <c:pt idx="1">
                  <c:v>2</c:v>
                </c:pt>
                <c:pt idx="2">
                  <c:v>3</c:v>
                </c:pt>
                <c:pt idx="3">
                  <c:v>4</c:v>
                </c:pt>
                <c:pt idx="4">
                  <c:v>5</c:v>
                </c:pt>
                <c:pt idx="5">
                  <c:v>6</c:v>
                </c:pt>
              </c:numCache>
            </c:numRef>
          </c:xVal>
          <c:yVal>
            <c:numRef>
              <c:f>termohlavice!$T$106:$T$111</c:f>
              <c:numCache>
                <c:formatCode>General</c:formatCode>
                <c:ptCount val="6"/>
                <c:pt idx="0">
                  <c:v>3.5969940132289359E-2</c:v>
                </c:pt>
                <c:pt idx="1">
                  <c:v>8.360335410884058E-2</c:v>
                </c:pt>
                <c:pt idx="2">
                  <c:v>0.1943806053694335</c:v>
                </c:pt>
                <c:pt idx="3">
                  <c:v>0.34762522947400126</c:v>
                </c:pt>
                <c:pt idx="4">
                  <c:v>0.51601874328565045</c:v>
                </c:pt>
                <c:pt idx="5">
                  <c:v>0.73850700699471772</c:v>
                </c:pt>
              </c:numCache>
            </c:numRef>
          </c:yVal>
          <c:extLst xmlns:c16r2="http://schemas.microsoft.com/office/drawing/2015/06/chart">
            <c:ext xmlns:c16="http://schemas.microsoft.com/office/drawing/2014/chart" uri="{C3380CC4-5D6E-409C-BE32-E72D297353CC}">
              <c16:uniqueId val="{00000000-F8AC-4D92-8C9F-013B003AA8BA}"/>
            </c:ext>
          </c:extLst>
        </c:ser>
        <c:axId val="158984832"/>
        <c:axId val="159121792"/>
      </c:scatterChart>
      <c:valAx>
        <c:axId val="158984832"/>
        <c:scaling>
          <c:orientation val="minMax"/>
        </c:scaling>
        <c:axPos val="b"/>
        <c:numFmt formatCode="General" sourceLinked="1"/>
        <c:tickLblPos val="nextTo"/>
        <c:crossAx val="159121792"/>
        <c:crosses val="autoZero"/>
        <c:crossBetween val="midCat"/>
      </c:valAx>
      <c:valAx>
        <c:axId val="159121792"/>
        <c:scaling>
          <c:orientation val="minMax"/>
        </c:scaling>
        <c:axPos val="l"/>
        <c:majorGridlines/>
        <c:numFmt formatCode="General" sourceLinked="1"/>
        <c:tickLblPos val="nextTo"/>
        <c:crossAx val="158984832"/>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termohlavice!$A$91:$A$102</c:f>
              <c:numCache>
                <c:formatCode>General</c:formatCode>
                <c:ptCount val="12"/>
                <c:pt idx="0">
                  <c:v>0.1</c:v>
                </c:pt>
                <c:pt idx="1">
                  <c:v>0.2</c:v>
                </c:pt>
                <c:pt idx="2">
                  <c:v>0.3</c:v>
                </c:pt>
                <c:pt idx="3">
                  <c:v>0.4</c:v>
                </c:pt>
                <c:pt idx="4">
                  <c:v>0.6</c:v>
                </c:pt>
                <c:pt idx="5">
                  <c:v>0.8</c:v>
                </c:pt>
                <c:pt idx="6">
                  <c:v>1</c:v>
                </c:pt>
                <c:pt idx="7">
                  <c:v>1.2</c:v>
                </c:pt>
                <c:pt idx="8">
                  <c:v>1.4</c:v>
                </c:pt>
                <c:pt idx="9">
                  <c:v>1.6</c:v>
                </c:pt>
                <c:pt idx="10">
                  <c:v>1.8</c:v>
                </c:pt>
                <c:pt idx="11">
                  <c:v>2</c:v>
                </c:pt>
              </c:numCache>
            </c:numRef>
          </c:xVal>
          <c:yVal>
            <c:numRef>
              <c:f>termohlavice!$D$91:$D$102</c:f>
              <c:numCache>
                <c:formatCode>General</c:formatCode>
                <c:ptCount val="12"/>
                <c:pt idx="0">
                  <c:v>0</c:v>
                </c:pt>
                <c:pt idx="1">
                  <c:v>0.15649242517103742</c:v>
                </c:pt>
                <c:pt idx="2">
                  <c:v>0.25248379622180517</c:v>
                </c:pt>
                <c:pt idx="3">
                  <c:v>0.30110101700731318</c:v>
                </c:pt>
                <c:pt idx="4">
                  <c:v>0.34009384618296629</c:v>
                </c:pt>
                <c:pt idx="5">
                  <c:v>0.35379983404477916</c:v>
                </c:pt>
                <c:pt idx="6">
                  <c:v>0.35994202621045096</c:v>
                </c:pt>
                <c:pt idx="7">
                  <c:v>0.36317568786124532</c:v>
                </c:pt>
                <c:pt idx="8">
                  <c:v>0.36507546270257468</c:v>
                </c:pt>
                <c:pt idx="9">
                  <c:v>0.36628272646696386</c:v>
                </c:pt>
                <c:pt idx="10">
                  <c:v>0.36709626716744104</c:v>
                </c:pt>
                <c:pt idx="11">
                  <c:v>0.3676699472875567</c:v>
                </c:pt>
              </c:numCache>
            </c:numRef>
          </c:yVal>
          <c:extLst xmlns:c16r2="http://schemas.microsoft.com/office/drawing/2015/06/chart">
            <c:ext xmlns:c16="http://schemas.microsoft.com/office/drawing/2014/chart" uri="{C3380CC4-5D6E-409C-BE32-E72D297353CC}">
              <c16:uniqueId val="{00000000-2981-4936-A105-0A13B24916B5}"/>
            </c:ext>
          </c:extLst>
        </c:ser>
        <c:ser>
          <c:idx val="1"/>
          <c:order val="1"/>
          <c:xVal>
            <c:numRef>
              <c:f>termohlavice!$A$91:$A$102</c:f>
              <c:numCache>
                <c:formatCode>General</c:formatCode>
                <c:ptCount val="12"/>
                <c:pt idx="0">
                  <c:v>0.1</c:v>
                </c:pt>
                <c:pt idx="1">
                  <c:v>0.2</c:v>
                </c:pt>
                <c:pt idx="2">
                  <c:v>0.3</c:v>
                </c:pt>
                <c:pt idx="3">
                  <c:v>0.4</c:v>
                </c:pt>
                <c:pt idx="4">
                  <c:v>0.6</c:v>
                </c:pt>
                <c:pt idx="5">
                  <c:v>0.8</c:v>
                </c:pt>
                <c:pt idx="6">
                  <c:v>1</c:v>
                </c:pt>
                <c:pt idx="7">
                  <c:v>1.2</c:v>
                </c:pt>
                <c:pt idx="8">
                  <c:v>1.4</c:v>
                </c:pt>
                <c:pt idx="9">
                  <c:v>1.6</c:v>
                </c:pt>
                <c:pt idx="10">
                  <c:v>1.8</c:v>
                </c:pt>
                <c:pt idx="11">
                  <c:v>2</c:v>
                </c:pt>
              </c:numCache>
            </c:numRef>
          </c:xVal>
          <c:yVal>
            <c:numRef>
              <c:f>termohlavice!$E$91:$E$102</c:f>
              <c:numCache>
                <c:formatCode>General</c:formatCode>
                <c:ptCount val="12"/>
                <c:pt idx="0">
                  <c:v>0</c:v>
                </c:pt>
                <c:pt idx="1">
                  <c:v>0.16476817479057451</c:v>
                </c:pt>
                <c:pt idx="2">
                  <c:v>0.29250354766521092</c:v>
                </c:pt>
                <c:pt idx="3">
                  <c:v>0.37712537827882742</c:v>
                </c:pt>
                <c:pt idx="4">
                  <c:v>0.46389211364213556</c:v>
                </c:pt>
                <c:pt idx="5">
                  <c:v>0.50062353209952992</c:v>
                </c:pt>
                <c:pt idx="6">
                  <c:v>0.51849547481554914</c:v>
                </c:pt>
                <c:pt idx="7">
                  <c:v>0.52830389449233095</c:v>
                </c:pt>
                <c:pt idx="8">
                  <c:v>0.5342036469183935</c:v>
                </c:pt>
                <c:pt idx="9">
                  <c:v>0.53800768089187279</c:v>
                </c:pt>
                <c:pt idx="10">
                  <c:v>0.5405957468649939</c:v>
                </c:pt>
                <c:pt idx="11">
                  <c:v>0.54243287775870808</c:v>
                </c:pt>
              </c:numCache>
            </c:numRef>
          </c:yVal>
          <c:extLst xmlns:c16r2="http://schemas.microsoft.com/office/drawing/2015/06/chart">
            <c:ext xmlns:c16="http://schemas.microsoft.com/office/drawing/2014/chart" uri="{C3380CC4-5D6E-409C-BE32-E72D297353CC}">
              <c16:uniqueId val="{00000001-2981-4936-A105-0A13B24916B5}"/>
            </c:ext>
          </c:extLst>
        </c:ser>
        <c:ser>
          <c:idx val="2"/>
          <c:order val="2"/>
          <c:xVal>
            <c:numRef>
              <c:f>termohlavice!$A$91:$A$102</c:f>
              <c:numCache>
                <c:formatCode>General</c:formatCode>
                <c:ptCount val="12"/>
                <c:pt idx="0">
                  <c:v>0.1</c:v>
                </c:pt>
                <c:pt idx="1">
                  <c:v>0.2</c:v>
                </c:pt>
                <c:pt idx="2">
                  <c:v>0.3</c:v>
                </c:pt>
                <c:pt idx="3">
                  <c:v>0.4</c:v>
                </c:pt>
                <c:pt idx="4">
                  <c:v>0.6</c:v>
                </c:pt>
                <c:pt idx="5">
                  <c:v>0.8</c:v>
                </c:pt>
                <c:pt idx="6">
                  <c:v>1</c:v>
                </c:pt>
                <c:pt idx="7">
                  <c:v>1.2</c:v>
                </c:pt>
                <c:pt idx="8">
                  <c:v>1.4</c:v>
                </c:pt>
                <c:pt idx="9">
                  <c:v>1.6</c:v>
                </c:pt>
                <c:pt idx="10">
                  <c:v>1.8</c:v>
                </c:pt>
                <c:pt idx="11">
                  <c:v>2</c:v>
                </c:pt>
              </c:numCache>
            </c:numRef>
          </c:xVal>
          <c:yVal>
            <c:numRef>
              <c:f>termohlavice!$F$91:$F$102</c:f>
              <c:numCache>
                <c:formatCode>General</c:formatCode>
                <c:ptCount val="12"/>
                <c:pt idx="0">
                  <c:v>0</c:v>
                </c:pt>
                <c:pt idx="1">
                  <c:v>0.16793657861251537</c:v>
                </c:pt>
                <c:pt idx="2">
                  <c:v>0.31141980338191966</c:v>
                </c:pt>
                <c:pt idx="3">
                  <c:v>0.42053901505228497</c:v>
                </c:pt>
                <c:pt idx="4">
                  <c:v>0.55298806875141537</c:v>
                </c:pt>
                <c:pt idx="5">
                  <c:v>0.61859714814663314</c:v>
                </c:pt>
                <c:pt idx="6">
                  <c:v>0.65330938732017263</c:v>
                </c:pt>
                <c:pt idx="7">
                  <c:v>0.67326587145816508</c:v>
                </c:pt>
                <c:pt idx="8">
                  <c:v>0.68560625446624268</c:v>
                </c:pt>
                <c:pt idx="9">
                  <c:v>0.69370411344688621</c:v>
                </c:pt>
                <c:pt idx="10">
                  <c:v>0.69927877347989154</c:v>
                </c:pt>
                <c:pt idx="11">
                  <c:v>0.70326873315027172</c:v>
                </c:pt>
              </c:numCache>
            </c:numRef>
          </c:yVal>
          <c:extLst xmlns:c16r2="http://schemas.microsoft.com/office/drawing/2015/06/chart">
            <c:ext xmlns:c16="http://schemas.microsoft.com/office/drawing/2014/chart" uri="{C3380CC4-5D6E-409C-BE32-E72D297353CC}">
              <c16:uniqueId val="{00000002-2981-4936-A105-0A13B24916B5}"/>
            </c:ext>
          </c:extLst>
        </c:ser>
        <c:ser>
          <c:idx val="3"/>
          <c:order val="3"/>
          <c:xVal>
            <c:numRef>
              <c:f>termohlavice!$A$91:$A$102</c:f>
              <c:numCache>
                <c:formatCode>General</c:formatCode>
                <c:ptCount val="12"/>
                <c:pt idx="0">
                  <c:v>0.1</c:v>
                </c:pt>
                <c:pt idx="1">
                  <c:v>0.2</c:v>
                </c:pt>
                <c:pt idx="2">
                  <c:v>0.3</c:v>
                </c:pt>
                <c:pt idx="3">
                  <c:v>0.4</c:v>
                </c:pt>
                <c:pt idx="4">
                  <c:v>0.6</c:v>
                </c:pt>
                <c:pt idx="5">
                  <c:v>0.8</c:v>
                </c:pt>
                <c:pt idx="6">
                  <c:v>1</c:v>
                </c:pt>
                <c:pt idx="7">
                  <c:v>1.2</c:v>
                </c:pt>
                <c:pt idx="8">
                  <c:v>1.4</c:v>
                </c:pt>
                <c:pt idx="9">
                  <c:v>1.6</c:v>
                </c:pt>
                <c:pt idx="10">
                  <c:v>1.8</c:v>
                </c:pt>
                <c:pt idx="11">
                  <c:v>2</c:v>
                </c:pt>
              </c:numCache>
            </c:numRef>
          </c:xVal>
          <c:yVal>
            <c:numRef>
              <c:f>termohlavice!$G$91:$G$102</c:f>
              <c:numCache>
                <c:formatCode>General</c:formatCode>
                <c:ptCount val="12"/>
                <c:pt idx="0">
                  <c:v>0</c:v>
                </c:pt>
                <c:pt idx="1">
                  <c:v>0.17061011562339842</c:v>
                </c:pt>
                <c:pt idx="2">
                  <c:v>0.32953634958114897</c:v>
                </c:pt>
                <c:pt idx="3">
                  <c:v>0.46871218637404893</c:v>
                </c:pt>
                <c:pt idx="4">
                  <c:v>0.679221511317458</c:v>
                </c:pt>
                <c:pt idx="5">
                  <c:v>0.81359901611639418</c:v>
                </c:pt>
                <c:pt idx="6">
                  <c:v>0.8978891132119029</c:v>
                </c:pt>
                <c:pt idx="7">
                  <c:v>0.95193117369041436</c:v>
                </c:pt>
                <c:pt idx="8">
                  <c:v>0.98780654229587039</c:v>
                </c:pt>
                <c:pt idx="9">
                  <c:v>1.0124993820463377</c:v>
                </c:pt>
                <c:pt idx="10">
                  <c:v>1.0300730765253114</c:v>
                </c:pt>
                <c:pt idx="11">
                  <c:v>1.0429557280487154</c:v>
                </c:pt>
              </c:numCache>
            </c:numRef>
          </c:yVal>
          <c:extLst xmlns:c16r2="http://schemas.microsoft.com/office/drawing/2015/06/chart">
            <c:ext xmlns:c16="http://schemas.microsoft.com/office/drawing/2014/chart" uri="{C3380CC4-5D6E-409C-BE32-E72D297353CC}">
              <c16:uniqueId val="{00000003-2981-4936-A105-0A13B24916B5}"/>
            </c:ext>
          </c:extLst>
        </c:ser>
        <c:ser>
          <c:idx val="4"/>
          <c:order val="4"/>
          <c:xVal>
            <c:numRef>
              <c:f>termohlavice!$A$91:$A$102</c:f>
              <c:numCache>
                <c:formatCode>General</c:formatCode>
                <c:ptCount val="12"/>
                <c:pt idx="0">
                  <c:v>0.1</c:v>
                </c:pt>
                <c:pt idx="1">
                  <c:v>0.2</c:v>
                </c:pt>
                <c:pt idx="2">
                  <c:v>0.3</c:v>
                </c:pt>
                <c:pt idx="3">
                  <c:v>0.4</c:v>
                </c:pt>
                <c:pt idx="4">
                  <c:v>0.6</c:v>
                </c:pt>
                <c:pt idx="5">
                  <c:v>0.8</c:v>
                </c:pt>
                <c:pt idx="6">
                  <c:v>1</c:v>
                </c:pt>
                <c:pt idx="7">
                  <c:v>1.2</c:v>
                </c:pt>
                <c:pt idx="8">
                  <c:v>1.4</c:v>
                </c:pt>
                <c:pt idx="9">
                  <c:v>1.6</c:v>
                </c:pt>
                <c:pt idx="10">
                  <c:v>1.8</c:v>
                </c:pt>
                <c:pt idx="11">
                  <c:v>2</c:v>
                </c:pt>
              </c:numCache>
            </c:numRef>
          </c:xVal>
          <c:yVal>
            <c:numRef>
              <c:f>termohlavice!$H$91:$H$102</c:f>
              <c:numCache>
                <c:formatCode>General</c:formatCode>
                <c:ptCount val="12"/>
                <c:pt idx="0">
                  <c:v>0</c:v>
                </c:pt>
                <c:pt idx="1">
                  <c:v>0.17163790623214639</c:v>
                </c:pt>
                <c:pt idx="2">
                  <c:v>0.33713093987824994</c:v>
                </c:pt>
                <c:pt idx="3">
                  <c:v>0.49137632928618069</c:v>
                </c:pt>
                <c:pt idx="4">
                  <c:v>0.75434072682881703</c:v>
                </c:pt>
                <c:pt idx="5">
                  <c:v>0.9532502616566737</c:v>
                </c:pt>
                <c:pt idx="6">
                  <c:v>1.0975326316414191</c:v>
                </c:pt>
                <c:pt idx="7">
                  <c:v>1.2009649950638617</c:v>
                </c:pt>
                <c:pt idx="8">
                  <c:v>1.2755401600219105</c:v>
                </c:pt>
                <c:pt idx="9">
                  <c:v>1.3300870845176871</c:v>
                </c:pt>
                <c:pt idx="10">
                  <c:v>1.3707005284283518</c:v>
                </c:pt>
                <c:pt idx="11">
                  <c:v>1.4015033903684004</c:v>
                </c:pt>
              </c:numCache>
            </c:numRef>
          </c:yVal>
          <c:extLst xmlns:c16r2="http://schemas.microsoft.com/office/drawing/2015/06/chart">
            <c:ext xmlns:c16="http://schemas.microsoft.com/office/drawing/2014/chart" uri="{C3380CC4-5D6E-409C-BE32-E72D297353CC}">
              <c16:uniqueId val="{00000004-2981-4936-A105-0A13B24916B5}"/>
            </c:ext>
          </c:extLst>
        </c:ser>
        <c:ser>
          <c:idx val="5"/>
          <c:order val="5"/>
          <c:xVal>
            <c:numRef>
              <c:f>termohlavice!$A$91:$A$102</c:f>
              <c:numCache>
                <c:formatCode>General</c:formatCode>
                <c:ptCount val="12"/>
                <c:pt idx="0">
                  <c:v>0.1</c:v>
                </c:pt>
                <c:pt idx="1">
                  <c:v>0.2</c:v>
                </c:pt>
                <c:pt idx="2">
                  <c:v>0.3</c:v>
                </c:pt>
                <c:pt idx="3">
                  <c:v>0.4</c:v>
                </c:pt>
                <c:pt idx="4">
                  <c:v>0.6</c:v>
                </c:pt>
                <c:pt idx="5">
                  <c:v>0.8</c:v>
                </c:pt>
                <c:pt idx="6">
                  <c:v>1</c:v>
                </c:pt>
                <c:pt idx="7">
                  <c:v>1.2</c:v>
                </c:pt>
                <c:pt idx="8">
                  <c:v>1.4</c:v>
                </c:pt>
                <c:pt idx="9">
                  <c:v>1.6</c:v>
                </c:pt>
                <c:pt idx="10">
                  <c:v>1.8</c:v>
                </c:pt>
                <c:pt idx="11">
                  <c:v>2</c:v>
                </c:pt>
              </c:numCache>
            </c:numRef>
          </c:xVal>
          <c:yVal>
            <c:numRef>
              <c:f>termohlavice!$I$91:$I$102</c:f>
              <c:numCache>
                <c:formatCode>General</c:formatCode>
                <c:ptCount val="12"/>
                <c:pt idx="0">
                  <c:v>0</c:v>
                </c:pt>
                <c:pt idx="1">
                  <c:v>0.17227253547672552</c:v>
                </c:pt>
                <c:pt idx="2">
                  <c:v>0.34201787783314114</c:v>
                </c:pt>
                <c:pt idx="3">
                  <c:v>0.50689006939842873</c:v>
                </c:pt>
                <c:pt idx="4">
                  <c:v>0.814397878410553</c:v>
                </c:pt>
                <c:pt idx="5">
                  <c:v>1.084107665215436</c:v>
                </c:pt>
                <c:pt idx="6">
                  <c:v>1.3124642463290237</c:v>
                </c:pt>
                <c:pt idx="7">
                  <c:v>1.5012695739076782</c:v>
                </c:pt>
                <c:pt idx="8">
                  <c:v>1.6552315251929357</c:v>
                </c:pt>
                <c:pt idx="9">
                  <c:v>1.7800098596237262</c:v>
                </c:pt>
                <c:pt idx="10">
                  <c:v>1.8810650861160327</c:v>
                </c:pt>
                <c:pt idx="11">
                  <c:v>1.9631472518149347</c:v>
                </c:pt>
              </c:numCache>
            </c:numRef>
          </c:yVal>
          <c:extLst xmlns:c16r2="http://schemas.microsoft.com/office/drawing/2015/06/chart">
            <c:ext xmlns:c16="http://schemas.microsoft.com/office/drawing/2014/chart" uri="{C3380CC4-5D6E-409C-BE32-E72D297353CC}">
              <c16:uniqueId val="{00000005-2981-4936-A105-0A13B24916B5}"/>
            </c:ext>
          </c:extLst>
        </c:ser>
        <c:axId val="159173632"/>
        <c:axId val="159187712"/>
      </c:scatterChart>
      <c:valAx>
        <c:axId val="159173632"/>
        <c:scaling>
          <c:orientation val="minMax"/>
          <c:max val="2.0699999999999998"/>
          <c:min val="-0.12000000000000002"/>
        </c:scaling>
        <c:axPos val="b"/>
        <c:numFmt formatCode="General" sourceLinked="1"/>
        <c:tickLblPos val="nextTo"/>
        <c:crossAx val="159187712"/>
        <c:crosses val="autoZero"/>
        <c:crossBetween val="midCat"/>
        <c:majorUnit val="0.1"/>
      </c:valAx>
      <c:valAx>
        <c:axId val="159187712"/>
        <c:scaling>
          <c:orientation val="minMax"/>
          <c:max val="2.2800000000000002"/>
          <c:min val="-0.60000000000000064"/>
        </c:scaling>
        <c:axPos val="l"/>
        <c:majorGridlines/>
        <c:numFmt formatCode="General" sourceLinked="1"/>
        <c:tickLblPos val="nextTo"/>
        <c:crossAx val="159173632"/>
        <c:crosses val="autoZero"/>
        <c:crossBetween val="midCat"/>
        <c:majorUnit val="0.2"/>
      </c:valAx>
      <c:spPr>
        <a:blipFill>
          <a:blip xmlns:r="http://schemas.openxmlformats.org/officeDocument/2006/relationships" r:embed="rId1"/>
          <a:stretch>
            <a:fillRect/>
          </a:stretch>
        </a:blipFill>
      </c:spPr>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Kv data / matematický model</a:t>
            </a:r>
          </a:p>
        </c:rich>
      </c:tx>
    </c:title>
    <c:plotArea>
      <c:layout/>
      <c:scatterChart>
        <c:scatterStyle val="lineMarker"/>
        <c:ser>
          <c:idx val="0"/>
          <c:order val="0"/>
          <c:tx>
            <c:strRef>
              <c:f>termohlavice!$D$127</c:f>
              <c:strCache>
                <c:ptCount val="1"/>
                <c:pt idx="0">
                  <c:v>Kv data</c:v>
                </c:pt>
              </c:strCache>
            </c:strRef>
          </c:tx>
          <c:xVal>
            <c:numRef>
              <c:f>termohlavice!$A$128:$A$135</c:f>
              <c:numCache>
                <c:formatCode>General</c:formatCode>
                <c:ptCount val="8"/>
                <c:pt idx="0">
                  <c:v>1</c:v>
                </c:pt>
                <c:pt idx="1">
                  <c:v>2</c:v>
                </c:pt>
                <c:pt idx="2">
                  <c:v>3</c:v>
                </c:pt>
                <c:pt idx="3">
                  <c:v>4</c:v>
                </c:pt>
                <c:pt idx="4">
                  <c:v>5</c:v>
                </c:pt>
                <c:pt idx="5">
                  <c:v>7</c:v>
                </c:pt>
                <c:pt idx="6">
                  <c:v>10</c:v>
                </c:pt>
                <c:pt idx="7">
                  <c:v>17</c:v>
                </c:pt>
              </c:numCache>
            </c:numRef>
          </c:xVal>
          <c:yVal>
            <c:numRef>
              <c:f>termohlavice!$D$128:$D$135</c:f>
              <c:numCache>
                <c:formatCode>General</c:formatCode>
                <c:ptCount val="8"/>
                <c:pt idx="0">
                  <c:v>0.3</c:v>
                </c:pt>
                <c:pt idx="1">
                  <c:v>0.54999999999999993</c:v>
                </c:pt>
                <c:pt idx="2">
                  <c:v>0.76999999999999991</c:v>
                </c:pt>
                <c:pt idx="3">
                  <c:v>0.92999999999999994</c:v>
                </c:pt>
                <c:pt idx="4">
                  <c:v>1.0599999999999998</c:v>
                </c:pt>
                <c:pt idx="5">
                  <c:v>1.2</c:v>
                </c:pt>
                <c:pt idx="6">
                  <c:v>1.33</c:v>
                </c:pt>
                <c:pt idx="7">
                  <c:v>1.4999999999999998</c:v>
                </c:pt>
              </c:numCache>
            </c:numRef>
          </c:yVal>
          <c:extLst xmlns:c16r2="http://schemas.microsoft.com/office/drawing/2015/06/chart">
            <c:ext xmlns:c16="http://schemas.microsoft.com/office/drawing/2014/chart" uri="{C3380CC4-5D6E-409C-BE32-E72D297353CC}">
              <c16:uniqueId val="{00000000-B803-4373-A7A9-ED1D1A8E6B67}"/>
            </c:ext>
          </c:extLst>
        </c:ser>
        <c:ser>
          <c:idx val="1"/>
          <c:order val="1"/>
          <c:tx>
            <c:strRef>
              <c:f>termohlavice!$E$127</c:f>
              <c:strCache>
                <c:ptCount val="1"/>
                <c:pt idx="0">
                  <c:v>Kv teor</c:v>
                </c:pt>
              </c:strCache>
            </c:strRef>
          </c:tx>
          <c:xVal>
            <c:numRef>
              <c:f>termohlavice!$A$128:$A$135</c:f>
              <c:numCache>
                <c:formatCode>General</c:formatCode>
                <c:ptCount val="8"/>
                <c:pt idx="0">
                  <c:v>1</c:v>
                </c:pt>
                <c:pt idx="1">
                  <c:v>2</c:v>
                </c:pt>
                <c:pt idx="2">
                  <c:v>3</c:v>
                </c:pt>
                <c:pt idx="3">
                  <c:v>4</c:v>
                </c:pt>
                <c:pt idx="4">
                  <c:v>5</c:v>
                </c:pt>
                <c:pt idx="5">
                  <c:v>7</c:v>
                </c:pt>
                <c:pt idx="6">
                  <c:v>10</c:v>
                </c:pt>
                <c:pt idx="7">
                  <c:v>17</c:v>
                </c:pt>
              </c:numCache>
            </c:numRef>
          </c:xVal>
          <c:yVal>
            <c:numRef>
              <c:f>termohlavice!$E$128:$E$135</c:f>
              <c:numCache>
                <c:formatCode>General</c:formatCode>
                <c:ptCount val="8"/>
                <c:pt idx="0">
                  <c:v>0.29996593310340797</c:v>
                </c:pt>
                <c:pt idx="1">
                  <c:v>0.56688922597989755</c:v>
                </c:pt>
                <c:pt idx="2">
                  <c:v>0.78328205940987994</c:v>
                </c:pt>
                <c:pt idx="3">
                  <c:v>0.94861596313332164</c:v>
                </c:pt>
                <c:pt idx="4">
                  <c:v>1.071366491000511</c:v>
                </c:pt>
                <c:pt idx="5">
                  <c:v>1.2288842480818214</c:v>
                </c:pt>
                <c:pt idx="6">
                  <c:v>1.3470089213125507</c:v>
                </c:pt>
                <c:pt idx="7">
                  <c:v>1.4413321432664148</c:v>
                </c:pt>
              </c:numCache>
            </c:numRef>
          </c:yVal>
          <c:extLst xmlns:c16r2="http://schemas.microsoft.com/office/drawing/2015/06/chart">
            <c:ext xmlns:c16="http://schemas.microsoft.com/office/drawing/2014/chart" uri="{C3380CC4-5D6E-409C-BE32-E72D297353CC}">
              <c16:uniqueId val="{00000001-B803-4373-A7A9-ED1D1A8E6B67}"/>
            </c:ext>
          </c:extLst>
        </c:ser>
        <c:axId val="159228288"/>
        <c:axId val="159229824"/>
      </c:scatterChart>
      <c:valAx>
        <c:axId val="159228288"/>
        <c:scaling>
          <c:orientation val="minMax"/>
        </c:scaling>
        <c:axPos val="b"/>
        <c:numFmt formatCode="General" sourceLinked="1"/>
        <c:tickLblPos val="nextTo"/>
        <c:crossAx val="159229824"/>
        <c:crosses val="autoZero"/>
        <c:crossBetween val="midCat"/>
      </c:valAx>
      <c:valAx>
        <c:axId val="159229824"/>
        <c:scaling>
          <c:orientation val="minMax"/>
        </c:scaling>
        <c:axPos val="l"/>
        <c:majorGridlines/>
        <c:numFmt formatCode="General" sourceLinked="1"/>
        <c:tickLblPos val="nextTo"/>
        <c:crossAx val="159228288"/>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000" baseline="0"/>
              <a:t>Kv data / matematický model</a:t>
            </a:r>
          </a:p>
        </c:rich>
      </c:tx>
    </c:title>
    <c:plotArea>
      <c:layout/>
      <c:scatterChart>
        <c:scatterStyle val="lineMarker"/>
        <c:ser>
          <c:idx val="0"/>
          <c:order val="0"/>
          <c:tx>
            <c:strRef>
              <c:f>termohlavice!$D$157</c:f>
              <c:strCache>
                <c:ptCount val="1"/>
                <c:pt idx="0">
                  <c:v>Kv data</c:v>
                </c:pt>
              </c:strCache>
            </c:strRef>
          </c:tx>
          <c:xVal>
            <c:numRef>
              <c:f>termohlavice!$A$158:$A$165</c:f>
              <c:numCache>
                <c:formatCode>General</c:formatCode>
                <c:ptCount val="8"/>
                <c:pt idx="0">
                  <c:v>1</c:v>
                </c:pt>
                <c:pt idx="1">
                  <c:v>2</c:v>
                </c:pt>
                <c:pt idx="2">
                  <c:v>3</c:v>
                </c:pt>
                <c:pt idx="3">
                  <c:v>4</c:v>
                </c:pt>
                <c:pt idx="4">
                  <c:v>5</c:v>
                </c:pt>
                <c:pt idx="5">
                  <c:v>7</c:v>
                </c:pt>
                <c:pt idx="6">
                  <c:v>10</c:v>
                </c:pt>
                <c:pt idx="7">
                  <c:v>17</c:v>
                </c:pt>
              </c:numCache>
            </c:numRef>
          </c:xVal>
          <c:yVal>
            <c:numRef>
              <c:f>termohlavice!$D$158:$D$165</c:f>
              <c:numCache>
                <c:formatCode>General</c:formatCode>
                <c:ptCount val="8"/>
                <c:pt idx="0">
                  <c:v>0.2</c:v>
                </c:pt>
                <c:pt idx="1">
                  <c:v>0.4</c:v>
                </c:pt>
                <c:pt idx="2">
                  <c:v>0.56999999999999995</c:v>
                </c:pt>
                <c:pt idx="3">
                  <c:v>0.68</c:v>
                </c:pt>
                <c:pt idx="4">
                  <c:v>0.76</c:v>
                </c:pt>
                <c:pt idx="5">
                  <c:v>0.86</c:v>
                </c:pt>
                <c:pt idx="6">
                  <c:v>0.94</c:v>
                </c:pt>
                <c:pt idx="7">
                  <c:v>1.1000000000000001</c:v>
                </c:pt>
              </c:numCache>
            </c:numRef>
          </c:yVal>
          <c:extLst xmlns:c16r2="http://schemas.microsoft.com/office/drawing/2015/06/chart">
            <c:ext xmlns:c16="http://schemas.microsoft.com/office/drawing/2014/chart" uri="{C3380CC4-5D6E-409C-BE32-E72D297353CC}">
              <c16:uniqueId val="{00000000-6C3E-46BB-92EB-3E8FAB37AD08}"/>
            </c:ext>
          </c:extLst>
        </c:ser>
        <c:ser>
          <c:idx val="1"/>
          <c:order val="1"/>
          <c:tx>
            <c:strRef>
              <c:f>termohlavice!$E$157</c:f>
              <c:strCache>
                <c:ptCount val="1"/>
                <c:pt idx="0">
                  <c:v>Kv teor</c:v>
                </c:pt>
              </c:strCache>
            </c:strRef>
          </c:tx>
          <c:xVal>
            <c:numRef>
              <c:f>termohlavice!$A$158:$A$165</c:f>
              <c:numCache>
                <c:formatCode>General</c:formatCode>
                <c:ptCount val="8"/>
                <c:pt idx="0">
                  <c:v>1</c:v>
                </c:pt>
                <c:pt idx="1">
                  <c:v>2</c:v>
                </c:pt>
                <c:pt idx="2">
                  <c:v>3</c:v>
                </c:pt>
                <c:pt idx="3">
                  <c:v>4</c:v>
                </c:pt>
                <c:pt idx="4">
                  <c:v>5</c:v>
                </c:pt>
                <c:pt idx="5">
                  <c:v>7</c:v>
                </c:pt>
                <c:pt idx="6">
                  <c:v>10</c:v>
                </c:pt>
                <c:pt idx="7">
                  <c:v>17</c:v>
                </c:pt>
              </c:numCache>
            </c:numRef>
          </c:xVal>
          <c:yVal>
            <c:numRef>
              <c:f>termohlavice!$E$158:$E$165</c:f>
              <c:numCache>
                <c:formatCode>General</c:formatCode>
                <c:ptCount val="8"/>
                <c:pt idx="0">
                  <c:v>0.21881313402583052</c:v>
                </c:pt>
                <c:pt idx="1">
                  <c:v>0.41163252926286709</c:v>
                </c:pt>
                <c:pt idx="2">
                  <c:v>0.56551315919165812</c:v>
                </c:pt>
                <c:pt idx="3">
                  <c:v>0.68109067478289198</c:v>
                </c:pt>
                <c:pt idx="4">
                  <c:v>0.76557372794056133</c:v>
                </c:pt>
                <c:pt idx="5">
                  <c:v>0.87212051115702571</c:v>
                </c:pt>
                <c:pt idx="6">
                  <c:v>0.95052130192393824</c:v>
                </c:pt>
                <c:pt idx="7">
                  <c:v>1.0121371825039212</c:v>
                </c:pt>
              </c:numCache>
            </c:numRef>
          </c:yVal>
          <c:extLst xmlns:c16r2="http://schemas.microsoft.com/office/drawing/2015/06/chart">
            <c:ext xmlns:c16="http://schemas.microsoft.com/office/drawing/2014/chart" uri="{C3380CC4-5D6E-409C-BE32-E72D297353CC}">
              <c16:uniqueId val="{00000001-6C3E-46BB-92EB-3E8FAB37AD08}"/>
            </c:ext>
          </c:extLst>
        </c:ser>
        <c:axId val="159242496"/>
        <c:axId val="159264768"/>
      </c:scatterChart>
      <c:valAx>
        <c:axId val="159242496"/>
        <c:scaling>
          <c:orientation val="minMax"/>
        </c:scaling>
        <c:axPos val="b"/>
        <c:numFmt formatCode="General" sourceLinked="1"/>
        <c:tickLblPos val="nextTo"/>
        <c:crossAx val="159264768"/>
        <c:crosses val="autoZero"/>
        <c:crossBetween val="midCat"/>
      </c:valAx>
      <c:valAx>
        <c:axId val="159264768"/>
        <c:scaling>
          <c:orientation val="minMax"/>
        </c:scaling>
        <c:axPos val="l"/>
        <c:majorGridlines/>
        <c:numFmt formatCode="General" sourceLinked="1"/>
        <c:tickLblPos val="nextTo"/>
        <c:crossAx val="159242496"/>
        <c:crosses val="autoZero"/>
        <c:crossBetween val="midCat"/>
      </c:valAx>
    </c:plotArea>
    <c:legend>
      <c:legendPos val="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tx>
            <c:strRef>
              <c:f>termohlavice!$B$176</c:f>
              <c:strCache>
                <c:ptCount val="1"/>
                <c:pt idx="0">
                  <c:v>Kv</c:v>
                </c:pt>
              </c:strCache>
            </c:strRef>
          </c:tx>
          <c:xVal>
            <c:numRef>
              <c:f>termohlavice!$A$177:$A$180</c:f>
              <c:numCache>
                <c:formatCode>General</c:formatCode>
                <c:ptCount val="4"/>
                <c:pt idx="0">
                  <c:v>0.125</c:v>
                </c:pt>
                <c:pt idx="1">
                  <c:v>0.25</c:v>
                </c:pt>
                <c:pt idx="2">
                  <c:v>0.375</c:v>
                </c:pt>
                <c:pt idx="3">
                  <c:v>0.5</c:v>
                </c:pt>
              </c:numCache>
            </c:numRef>
          </c:xVal>
          <c:yVal>
            <c:numRef>
              <c:f>termohlavice!$B$177:$B$180</c:f>
              <c:numCache>
                <c:formatCode>General</c:formatCode>
                <c:ptCount val="4"/>
                <c:pt idx="0">
                  <c:v>6.4762499999999987E-2</c:v>
                </c:pt>
                <c:pt idx="1">
                  <c:v>0.388575</c:v>
                </c:pt>
                <c:pt idx="2">
                  <c:v>0.71238750000000006</c:v>
                </c:pt>
                <c:pt idx="3">
                  <c:v>1.0362000000000002</c:v>
                </c:pt>
              </c:numCache>
            </c:numRef>
          </c:yVal>
        </c:ser>
        <c:ser>
          <c:idx val="1"/>
          <c:order val="1"/>
          <c:tx>
            <c:strRef>
              <c:f>termohlavice!$C$176</c:f>
              <c:strCache>
                <c:ptCount val="1"/>
                <c:pt idx="0">
                  <c:v>Kv</c:v>
                </c:pt>
              </c:strCache>
            </c:strRef>
          </c:tx>
          <c:xVal>
            <c:numRef>
              <c:f>termohlavice!$A$177:$A$180</c:f>
              <c:numCache>
                <c:formatCode>General</c:formatCode>
                <c:ptCount val="4"/>
                <c:pt idx="0">
                  <c:v>0.125</c:v>
                </c:pt>
                <c:pt idx="1">
                  <c:v>0.25</c:v>
                </c:pt>
                <c:pt idx="2">
                  <c:v>0.375</c:v>
                </c:pt>
                <c:pt idx="3">
                  <c:v>0.5</c:v>
                </c:pt>
              </c:numCache>
            </c:numRef>
          </c:xVal>
          <c:yVal>
            <c:numRef>
              <c:f>termohlavice!$C$177:$C$180</c:f>
              <c:numCache>
                <c:formatCode>General</c:formatCode>
                <c:ptCount val="4"/>
                <c:pt idx="0">
                  <c:v>6.4762499999999987E-2</c:v>
                </c:pt>
                <c:pt idx="1">
                  <c:v>0.388575</c:v>
                </c:pt>
                <c:pt idx="2">
                  <c:v>0.71238750000000006</c:v>
                </c:pt>
                <c:pt idx="3">
                  <c:v>1.0362000000000002</c:v>
                </c:pt>
              </c:numCache>
            </c:numRef>
          </c:yVal>
        </c:ser>
        <c:ser>
          <c:idx val="2"/>
          <c:order val="2"/>
          <c:tx>
            <c:strRef>
              <c:f>termohlavice!$D$176</c:f>
              <c:strCache>
                <c:ptCount val="1"/>
                <c:pt idx="0">
                  <c:v>0,05652</c:v>
                </c:pt>
              </c:strCache>
            </c:strRef>
          </c:tx>
          <c:xVal>
            <c:numRef>
              <c:f>termohlavice!$A$177:$A$180</c:f>
              <c:numCache>
                <c:formatCode>General</c:formatCode>
                <c:ptCount val="4"/>
                <c:pt idx="0">
                  <c:v>0.125</c:v>
                </c:pt>
                <c:pt idx="1">
                  <c:v>0.25</c:v>
                </c:pt>
                <c:pt idx="2">
                  <c:v>0.375</c:v>
                </c:pt>
                <c:pt idx="3">
                  <c:v>0.5</c:v>
                </c:pt>
              </c:numCache>
            </c:numRef>
          </c:xVal>
          <c:yVal>
            <c:numRef>
              <c:f>termohlavice!$D$177:$D$180</c:f>
              <c:numCache>
                <c:formatCode>General</c:formatCode>
                <c:ptCount val="4"/>
                <c:pt idx="0">
                  <c:v>4.2583561643835609E-2</c:v>
                </c:pt>
                <c:pt idx="1">
                  <c:v>5.5931425548360593E-2</c:v>
                </c:pt>
                <c:pt idx="2">
                  <c:v>5.634294855519438E-2</c:v>
                </c:pt>
                <c:pt idx="3">
                  <c:v>5.643610781225708E-2</c:v>
                </c:pt>
              </c:numCache>
            </c:numRef>
          </c:yVal>
        </c:ser>
        <c:ser>
          <c:idx val="3"/>
          <c:order val="3"/>
          <c:tx>
            <c:strRef>
              <c:f>termohlavice!$E$176</c:f>
              <c:strCache>
                <c:ptCount val="1"/>
                <c:pt idx="0">
                  <c:v>0,10048</c:v>
                </c:pt>
              </c:strCache>
            </c:strRef>
          </c:tx>
          <c:xVal>
            <c:numRef>
              <c:f>termohlavice!$A$177:$A$180</c:f>
              <c:numCache>
                <c:formatCode>General</c:formatCode>
                <c:ptCount val="4"/>
                <c:pt idx="0">
                  <c:v>0.125</c:v>
                </c:pt>
                <c:pt idx="1">
                  <c:v>0.25</c:v>
                </c:pt>
                <c:pt idx="2">
                  <c:v>0.375</c:v>
                </c:pt>
                <c:pt idx="3">
                  <c:v>0.5</c:v>
                </c:pt>
              </c:numCache>
            </c:numRef>
          </c:xVal>
          <c:yVal>
            <c:numRef>
              <c:f>termohlavice!$E$177:$E$180</c:f>
              <c:numCache>
                <c:formatCode>General</c:formatCode>
                <c:ptCount val="4"/>
                <c:pt idx="0">
                  <c:v>5.4435329952069296E-2</c:v>
                </c:pt>
                <c:pt idx="1">
                  <c:v>9.7280222993717747E-2</c:v>
                </c:pt>
                <c:pt idx="2">
                  <c:v>9.9495184916073856E-2</c:v>
                </c:pt>
                <c:pt idx="3">
                  <c:v>0.10001089286766381</c:v>
                </c:pt>
              </c:numCache>
            </c:numRef>
          </c:yVal>
        </c:ser>
        <c:ser>
          <c:idx val="4"/>
          <c:order val="4"/>
          <c:tx>
            <c:strRef>
              <c:f>termohlavice!$F$176</c:f>
              <c:strCache>
                <c:ptCount val="1"/>
                <c:pt idx="0">
                  <c:v>0,157</c:v>
                </c:pt>
              </c:strCache>
            </c:strRef>
          </c:tx>
          <c:xVal>
            <c:numRef>
              <c:f>termohlavice!$A$177:$A$180</c:f>
              <c:numCache>
                <c:formatCode>General</c:formatCode>
                <c:ptCount val="4"/>
                <c:pt idx="0">
                  <c:v>0.125</c:v>
                </c:pt>
                <c:pt idx="1">
                  <c:v>0.25</c:v>
                </c:pt>
                <c:pt idx="2">
                  <c:v>0.375</c:v>
                </c:pt>
                <c:pt idx="3">
                  <c:v>0.5</c:v>
                </c:pt>
              </c:numCache>
            </c:numRef>
          </c:xVal>
          <c:yVal>
            <c:numRef>
              <c:f>termohlavice!$F$177:$F$180</c:f>
              <c:numCache>
                <c:formatCode>General</c:formatCode>
                <c:ptCount val="4"/>
                <c:pt idx="0">
                  <c:v>5.986895490360452E-2</c:v>
                </c:pt>
                <c:pt idx="1">
                  <c:v>0.14556714831009934</c:v>
                </c:pt>
                <c:pt idx="2">
                  <c:v>0.15332076243451881</c:v>
                </c:pt>
                <c:pt idx="3">
                  <c:v>0.15522833416328835</c:v>
                </c:pt>
              </c:numCache>
            </c:numRef>
          </c:yVal>
        </c:ser>
        <c:ser>
          <c:idx val="5"/>
          <c:order val="5"/>
          <c:tx>
            <c:strRef>
              <c:f>termohlavice!$G$176</c:f>
              <c:strCache>
                <c:ptCount val="1"/>
                <c:pt idx="0">
                  <c:v>0,22608</c:v>
                </c:pt>
              </c:strCache>
            </c:strRef>
          </c:tx>
          <c:xVal>
            <c:numRef>
              <c:f>termohlavice!$A$177:$A$180</c:f>
              <c:numCache>
                <c:formatCode>General</c:formatCode>
                <c:ptCount val="4"/>
                <c:pt idx="0">
                  <c:v>0.125</c:v>
                </c:pt>
                <c:pt idx="1">
                  <c:v>0.25</c:v>
                </c:pt>
                <c:pt idx="2">
                  <c:v>0.375</c:v>
                </c:pt>
                <c:pt idx="3">
                  <c:v>0.5</c:v>
                </c:pt>
              </c:numCache>
            </c:numRef>
          </c:xVal>
          <c:yVal>
            <c:numRef>
              <c:f>termohlavice!$G$177:$G$180</c:f>
              <c:numCache>
                <c:formatCode>General</c:formatCode>
                <c:ptCount val="4"/>
                <c:pt idx="0">
                  <c:v>6.2258443602409688E-2</c:v>
                </c:pt>
                <c:pt idx="1">
                  <c:v>0.19541187218933595</c:v>
                </c:pt>
                <c:pt idx="2">
                  <c:v>0.21548885528544626</c:v>
                </c:pt>
                <c:pt idx="3">
                  <c:v>0.22088372333957104</c:v>
                </c:pt>
              </c:numCache>
            </c:numRef>
          </c:yVal>
        </c:ser>
        <c:ser>
          <c:idx val="6"/>
          <c:order val="6"/>
          <c:tx>
            <c:strRef>
              <c:f>termohlavice!$H$176</c:f>
              <c:strCache>
                <c:ptCount val="1"/>
                <c:pt idx="0">
                  <c:v>0,777248125</c:v>
                </c:pt>
              </c:strCache>
            </c:strRef>
          </c:tx>
          <c:xVal>
            <c:numRef>
              <c:f>termohlavice!$A$177:$A$180</c:f>
              <c:numCache>
                <c:formatCode>General</c:formatCode>
                <c:ptCount val="4"/>
                <c:pt idx="0">
                  <c:v>0.125</c:v>
                </c:pt>
                <c:pt idx="1">
                  <c:v>0.25</c:v>
                </c:pt>
                <c:pt idx="2">
                  <c:v>0.375</c:v>
                </c:pt>
                <c:pt idx="3">
                  <c:v>0.5</c:v>
                </c:pt>
              </c:numCache>
            </c:numRef>
          </c:xVal>
          <c:yVal>
            <c:numRef>
              <c:f>termohlavice!$H$177:$H$180</c:f>
              <c:numCache>
                <c:formatCode>General</c:formatCode>
                <c:ptCount val="4"/>
                <c:pt idx="0">
                  <c:v>6.4538850856646193E-2</c:v>
                </c:pt>
                <c:pt idx="1">
                  <c:v>0.34756082097998903</c:v>
                </c:pt>
                <c:pt idx="2">
                  <c:v>0.52516966726866621</c:v>
                </c:pt>
                <c:pt idx="3">
                  <c:v>0.6217702365746608</c:v>
                </c:pt>
              </c:numCache>
            </c:numRef>
          </c:yVal>
        </c:ser>
        <c:ser>
          <c:idx val="7"/>
          <c:order val="7"/>
          <c:tx>
            <c:strRef>
              <c:f>termohlavice!$I$176</c:f>
              <c:strCache>
                <c:ptCount val="1"/>
                <c:pt idx="0">
                  <c:v>1,6583125</c:v>
                </c:pt>
              </c:strCache>
            </c:strRef>
          </c:tx>
          <c:xVal>
            <c:numRef>
              <c:f>termohlavice!$A$177:$A$180</c:f>
              <c:numCache>
                <c:formatCode>General</c:formatCode>
                <c:ptCount val="4"/>
                <c:pt idx="0">
                  <c:v>0.125</c:v>
                </c:pt>
                <c:pt idx="1">
                  <c:v>0.25</c:v>
                </c:pt>
                <c:pt idx="2">
                  <c:v>0.375</c:v>
                </c:pt>
                <c:pt idx="3">
                  <c:v>0.5</c:v>
                </c:pt>
              </c:numCache>
            </c:numRef>
          </c:xVal>
          <c:yVal>
            <c:numRef>
              <c:f>termohlavice!$I$177:$I$180</c:f>
              <c:numCache>
                <c:formatCode>General</c:formatCode>
                <c:ptCount val="4"/>
                <c:pt idx="0">
                  <c:v>6.4713169940071535E-2</c:v>
                </c:pt>
                <c:pt idx="1">
                  <c:v>0.37832762007849696</c:v>
                </c:pt>
                <c:pt idx="2">
                  <c:v>0.65454679311244013</c:v>
                </c:pt>
                <c:pt idx="3">
                  <c:v>0.87875426156319836</c:v>
                </c:pt>
              </c:numCache>
            </c:numRef>
          </c:yVal>
        </c:ser>
        <c:axId val="159315072"/>
        <c:axId val="159316608"/>
      </c:scatterChart>
      <c:valAx>
        <c:axId val="159315072"/>
        <c:scaling>
          <c:orientation val="minMax"/>
        </c:scaling>
        <c:axPos val="b"/>
        <c:numFmt formatCode="General" sourceLinked="1"/>
        <c:tickLblPos val="nextTo"/>
        <c:crossAx val="159316608"/>
        <c:crosses val="autoZero"/>
        <c:crossBetween val="midCat"/>
      </c:valAx>
      <c:valAx>
        <c:axId val="159316608"/>
        <c:scaling>
          <c:orientation val="minMax"/>
        </c:scaling>
        <c:axPos val="l"/>
        <c:majorGridlines/>
        <c:numFmt formatCode="General" sourceLinked="1"/>
        <c:tickLblPos val="nextTo"/>
        <c:crossAx val="159315072"/>
        <c:crosses val="autoZero"/>
        <c:crossBetween val="midCat"/>
      </c:valAx>
    </c:plotArea>
    <c:legend>
      <c:legendPos val="r"/>
    </c:legend>
    <c:plotVisOnly val="1"/>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termohlavice!$C$194:$C$200</c:f>
              <c:numCache>
                <c:formatCode>General</c:formatCode>
                <c:ptCount val="7"/>
                <c:pt idx="0">
                  <c:v>1</c:v>
                </c:pt>
                <c:pt idx="1">
                  <c:v>2</c:v>
                </c:pt>
                <c:pt idx="2">
                  <c:v>3</c:v>
                </c:pt>
                <c:pt idx="3">
                  <c:v>4</c:v>
                </c:pt>
                <c:pt idx="4">
                  <c:v>5</c:v>
                </c:pt>
                <c:pt idx="5">
                  <c:v>6</c:v>
                </c:pt>
                <c:pt idx="6">
                  <c:v>7</c:v>
                </c:pt>
              </c:numCache>
            </c:numRef>
          </c:xVal>
          <c:yVal>
            <c:numRef>
              <c:f>termohlavice!$F$194:$F$200</c:f>
              <c:numCache>
                <c:formatCode>General</c:formatCode>
                <c:ptCount val="7"/>
                <c:pt idx="0">
                  <c:v>4.7434164902525694E-2</c:v>
                </c:pt>
                <c:pt idx="1">
                  <c:v>8.2219219164377869E-2</c:v>
                </c:pt>
                <c:pt idx="2">
                  <c:v>0.12649110640673519</c:v>
                </c:pt>
                <c:pt idx="3">
                  <c:v>0.21503488089144979</c:v>
                </c:pt>
                <c:pt idx="4">
                  <c:v>0.24665765749313359</c:v>
                </c:pt>
                <c:pt idx="5">
                  <c:v>0.30357865537616441</c:v>
                </c:pt>
                <c:pt idx="6">
                  <c:v>0.37947331922020555</c:v>
                </c:pt>
              </c:numCache>
            </c:numRef>
          </c:yVal>
        </c:ser>
        <c:ser>
          <c:idx val="1"/>
          <c:order val="1"/>
          <c:xVal>
            <c:numRef>
              <c:f>termohlavice!$C$194:$C$200</c:f>
              <c:numCache>
                <c:formatCode>General</c:formatCode>
                <c:ptCount val="7"/>
                <c:pt idx="0">
                  <c:v>1</c:v>
                </c:pt>
                <c:pt idx="1">
                  <c:v>2</c:v>
                </c:pt>
                <c:pt idx="2">
                  <c:v>3</c:v>
                </c:pt>
                <c:pt idx="3">
                  <c:v>4</c:v>
                </c:pt>
                <c:pt idx="4">
                  <c:v>5</c:v>
                </c:pt>
                <c:pt idx="5">
                  <c:v>6</c:v>
                </c:pt>
                <c:pt idx="6">
                  <c:v>7</c:v>
                </c:pt>
              </c:numCache>
            </c:numRef>
          </c:xVal>
          <c:yVal>
            <c:numRef>
              <c:f>termohlavice!$G$194:$G$200</c:f>
              <c:numCache>
                <c:formatCode>General</c:formatCode>
                <c:ptCount val="7"/>
                <c:pt idx="0">
                  <c:v>2.5455844122715707E-2</c:v>
                </c:pt>
                <c:pt idx="1">
                  <c:v>4.6669047558312138E-2</c:v>
                </c:pt>
                <c:pt idx="2">
                  <c:v>8.4852813742385694E-2</c:v>
                </c:pt>
                <c:pt idx="3">
                  <c:v>0.12727922061357855</c:v>
                </c:pt>
                <c:pt idx="4">
                  <c:v>0.21213203435596423</c:v>
                </c:pt>
                <c:pt idx="5">
                  <c:v>0.2545584412271571</c:v>
                </c:pt>
                <c:pt idx="6">
                  <c:v>0.33941125496954277</c:v>
                </c:pt>
              </c:numCache>
            </c:numRef>
          </c:yVal>
        </c:ser>
        <c:axId val="159337472"/>
        <c:axId val="159347456"/>
      </c:scatterChart>
      <c:valAx>
        <c:axId val="159337472"/>
        <c:scaling>
          <c:orientation val="minMax"/>
        </c:scaling>
        <c:axPos val="b"/>
        <c:numFmt formatCode="General" sourceLinked="1"/>
        <c:tickLblPos val="nextTo"/>
        <c:crossAx val="159347456"/>
        <c:crosses val="autoZero"/>
        <c:crossBetween val="midCat"/>
      </c:valAx>
      <c:valAx>
        <c:axId val="159347456"/>
        <c:scaling>
          <c:orientation val="minMax"/>
        </c:scaling>
        <c:axPos val="l"/>
        <c:majorGridlines/>
        <c:numFmt formatCode="General" sourceLinked="1"/>
        <c:tickLblPos val="nextTo"/>
        <c:crossAx val="159337472"/>
        <c:crosses val="autoZero"/>
        <c:crossBetween val="midCat"/>
      </c:valAx>
    </c:plotArea>
    <c:legend>
      <c:legendPos val="r"/>
    </c:legend>
    <c:plotVisOnly val="1"/>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plotArea>
      <c:layout/>
      <c:scatterChart>
        <c:scatterStyle val="lineMarker"/>
        <c:ser>
          <c:idx val="0"/>
          <c:order val="0"/>
          <c:xVal>
            <c:numRef>
              <c:f>'Kv clony'!$E$17:$E$31</c:f>
              <c:numCache>
                <c:formatCode>General</c:formatCode>
                <c:ptCount val="15"/>
                <c:pt idx="0">
                  <c:v>0.7084625</c:v>
                </c:pt>
                <c:pt idx="1">
                  <c:v>1.6277759999999999</c:v>
                </c:pt>
                <c:pt idx="2">
                  <c:v>3.7306340000000007</c:v>
                </c:pt>
                <c:pt idx="3">
                  <c:v>6.8314625000000007</c:v>
                </c:pt>
                <c:pt idx="4">
                  <c:v>10.1736</c:v>
                </c:pt>
                <c:pt idx="5">
                  <c:v>15.197600000000003</c:v>
                </c:pt>
                <c:pt idx="6">
                  <c:v>19.625</c:v>
                </c:pt>
                <c:pt idx="7">
                  <c:v>59.41664999999999</c:v>
                </c:pt>
                <c:pt idx="8">
                  <c:v>216.31460000000004</c:v>
                </c:pt>
                <c:pt idx="9">
                  <c:v>277.45040000000006</c:v>
                </c:pt>
                <c:pt idx="10">
                  <c:v>19.625</c:v>
                </c:pt>
                <c:pt idx="11">
                  <c:v>63.585000000000001</c:v>
                </c:pt>
                <c:pt idx="12">
                  <c:v>120.70160000000001</c:v>
                </c:pt>
                <c:pt idx="13">
                  <c:v>176.625</c:v>
                </c:pt>
              </c:numCache>
            </c:numRef>
          </c:xVal>
          <c:yVal>
            <c:numRef>
              <c:f>'Kv clony'!$I$17:$I$31</c:f>
              <c:numCache>
                <c:formatCode>General</c:formatCode>
                <c:ptCount val="15"/>
                <c:pt idx="0">
                  <c:v>3.5706510000000004E-2</c:v>
                </c:pt>
                <c:pt idx="1">
                  <c:v>8.2039910399999999E-2</c:v>
                </c:pt>
                <c:pt idx="2">
                  <c:v>0.18802395360000002</c:v>
                </c:pt>
                <c:pt idx="3">
                  <c:v>0.34430570999999999</c:v>
                </c:pt>
                <c:pt idx="4">
                  <c:v>0.51274944000000011</c:v>
                </c:pt>
                <c:pt idx="5">
                  <c:v>0.76595904000000015</c:v>
                </c:pt>
                <c:pt idx="6">
                  <c:v>0.98909999999999998</c:v>
                </c:pt>
                <c:pt idx="7">
                  <c:v>2.9945991599999999</c:v>
                </c:pt>
                <c:pt idx="8">
                  <c:v>10.902255840000004</c:v>
                </c:pt>
                <c:pt idx="9">
                  <c:v>13.983500160000004</c:v>
                </c:pt>
                <c:pt idx="10">
                  <c:v>0.98909999999999998</c:v>
                </c:pt>
                <c:pt idx="11">
                  <c:v>3.2046840000000003</c:v>
                </c:pt>
                <c:pt idx="12">
                  <c:v>6.0833606400000004</c:v>
                </c:pt>
                <c:pt idx="13">
                  <c:v>8.9018999999999995</c:v>
                </c:pt>
              </c:numCache>
            </c:numRef>
          </c:yVal>
          <c:extLst xmlns:c16r2="http://schemas.microsoft.com/office/drawing/2015/06/chart">
            <c:ext xmlns:c16="http://schemas.microsoft.com/office/drawing/2014/chart" uri="{C3380CC4-5D6E-409C-BE32-E72D297353CC}">
              <c16:uniqueId val="{00000000-2F75-4552-8145-7C214D309D2A}"/>
            </c:ext>
          </c:extLst>
        </c:ser>
        <c:axId val="159416704"/>
        <c:axId val="159418240"/>
      </c:scatterChart>
      <c:valAx>
        <c:axId val="159416704"/>
        <c:scaling>
          <c:orientation val="minMax"/>
        </c:scaling>
        <c:axPos val="b"/>
        <c:numFmt formatCode="General" sourceLinked="1"/>
        <c:tickLblPos val="nextTo"/>
        <c:crossAx val="159418240"/>
        <c:crosses val="autoZero"/>
        <c:crossBetween val="midCat"/>
      </c:valAx>
      <c:valAx>
        <c:axId val="159418240"/>
        <c:scaling>
          <c:orientation val="minMax"/>
        </c:scaling>
        <c:axPos val="l"/>
        <c:majorGridlines/>
        <c:numFmt formatCode="General" sourceLinked="1"/>
        <c:tickLblPos val="nextTo"/>
        <c:crossAx val="159416704"/>
        <c:crosses val="autoZero"/>
        <c:crossBetween val="midCat"/>
      </c:valAx>
    </c:plotArea>
    <c:plotVisOnly val="1"/>
    <c:dispBlanksAs val="gap"/>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chart" Target="../charts/chart87.xml"/><Relationship Id="rId4" Type="http://schemas.openxmlformats.org/officeDocument/2006/relationships/chart" Target="../charts/chart8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95.xml"/><Relationship Id="rId3" Type="http://schemas.openxmlformats.org/officeDocument/2006/relationships/chart" Target="../charts/chart90.xml"/><Relationship Id="rId7" Type="http://schemas.openxmlformats.org/officeDocument/2006/relationships/chart" Target="../charts/chart94.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chart" Target="../charts/chart93.xml"/><Relationship Id="rId11" Type="http://schemas.openxmlformats.org/officeDocument/2006/relationships/chart" Target="../charts/chart98.xml"/><Relationship Id="rId5" Type="http://schemas.openxmlformats.org/officeDocument/2006/relationships/chart" Target="../charts/chart92.xml"/><Relationship Id="rId10" Type="http://schemas.openxmlformats.org/officeDocument/2006/relationships/chart" Target="../charts/chart97.xml"/><Relationship Id="rId4" Type="http://schemas.openxmlformats.org/officeDocument/2006/relationships/chart" Target="../charts/chart91.xml"/><Relationship Id="rId9" Type="http://schemas.openxmlformats.org/officeDocument/2006/relationships/chart" Target="../charts/chart9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image" Target="../media/image14.emf"/><Relationship Id="rId4" Type="http://schemas.openxmlformats.org/officeDocument/2006/relationships/chart" Target="../charts/chart10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4" Type="http://schemas.openxmlformats.org/officeDocument/2006/relationships/chart" Target="../charts/chart110.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18.xml"/><Relationship Id="rId3" Type="http://schemas.openxmlformats.org/officeDocument/2006/relationships/chart" Target="../charts/chart113.xml"/><Relationship Id="rId7" Type="http://schemas.openxmlformats.org/officeDocument/2006/relationships/chart" Target="../charts/chart117.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4" Type="http://schemas.openxmlformats.org/officeDocument/2006/relationships/chart" Target="../charts/chart1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chart" Target="../charts/chart44.xml"/><Relationship Id="rId26" Type="http://schemas.openxmlformats.org/officeDocument/2006/relationships/chart" Target="../charts/chart50.xml"/><Relationship Id="rId3" Type="http://schemas.openxmlformats.org/officeDocument/2006/relationships/chart" Target="../charts/chart29.xml"/><Relationship Id="rId21" Type="http://schemas.openxmlformats.org/officeDocument/2006/relationships/chart" Target="../charts/chart46.xml"/><Relationship Id="rId34" Type="http://schemas.openxmlformats.org/officeDocument/2006/relationships/chart" Target="../charts/chart58.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5" Type="http://schemas.openxmlformats.org/officeDocument/2006/relationships/chart" Target="../charts/chart49.xml"/><Relationship Id="rId33" Type="http://schemas.openxmlformats.org/officeDocument/2006/relationships/chart" Target="../charts/chart57.xml"/><Relationship Id="rId2" Type="http://schemas.openxmlformats.org/officeDocument/2006/relationships/chart" Target="../charts/chart28.xml"/><Relationship Id="rId16" Type="http://schemas.openxmlformats.org/officeDocument/2006/relationships/chart" Target="../charts/chart42.xml"/><Relationship Id="rId20" Type="http://schemas.openxmlformats.org/officeDocument/2006/relationships/image" Target="../media/image2.png"/><Relationship Id="rId29" Type="http://schemas.openxmlformats.org/officeDocument/2006/relationships/chart" Target="../charts/chart53.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24" Type="http://schemas.openxmlformats.org/officeDocument/2006/relationships/chart" Target="../charts/chart48.xml"/><Relationship Id="rId32" Type="http://schemas.openxmlformats.org/officeDocument/2006/relationships/chart" Target="../charts/chart56.xml"/><Relationship Id="rId5" Type="http://schemas.openxmlformats.org/officeDocument/2006/relationships/chart" Target="../charts/chart31.xml"/><Relationship Id="rId15" Type="http://schemas.openxmlformats.org/officeDocument/2006/relationships/chart" Target="../charts/chart41.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10" Type="http://schemas.openxmlformats.org/officeDocument/2006/relationships/chart" Target="../charts/chart36.xml"/><Relationship Id="rId19" Type="http://schemas.openxmlformats.org/officeDocument/2006/relationships/chart" Target="../charts/chart45.xml"/><Relationship Id="rId31" Type="http://schemas.openxmlformats.org/officeDocument/2006/relationships/chart" Target="../charts/chart55.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 Id="rId22" Type="http://schemas.openxmlformats.org/officeDocument/2006/relationships/image" Target="../media/image4.png"/><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image" Target="../media/image7.png"/><Relationship Id="rId12"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image" Target="../media/image11.png"/><Relationship Id="rId5" Type="http://schemas.openxmlformats.org/officeDocument/2006/relationships/chart" Target="../charts/chart72.xml"/><Relationship Id="rId15" Type="http://schemas.openxmlformats.org/officeDocument/2006/relationships/chart" Target="../charts/chart77.xml"/><Relationship Id="rId10" Type="http://schemas.openxmlformats.org/officeDocument/2006/relationships/image" Target="../media/image10.png"/><Relationship Id="rId4" Type="http://schemas.openxmlformats.org/officeDocument/2006/relationships/chart" Target="../charts/chart71.xml"/><Relationship Id="rId9" Type="http://schemas.openxmlformats.org/officeDocument/2006/relationships/image" Target="../media/image9.png"/><Relationship Id="rId14" Type="http://schemas.openxmlformats.org/officeDocument/2006/relationships/chart" Target="../charts/chart7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12.gif"/><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41</xdr:col>
      <xdr:colOff>429575</xdr:colOff>
      <xdr:row>34</xdr:row>
      <xdr:rowOff>81827</xdr:rowOff>
    </xdr:from>
    <xdr:to>
      <xdr:col>50</xdr:col>
      <xdr:colOff>82209</xdr:colOff>
      <xdr:row>49</xdr:row>
      <xdr:rowOff>144701</xdr:rowOff>
    </xdr:to>
    <xdr:graphicFrame macro="">
      <xdr:nvGraphicFramePr>
        <xdr:cNvPr id="8" name="Graf 7">
          <a:extLst>
            <a:ext uri="{FF2B5EF4-FFF2-40B4-BE49-F238E27FC236}">
              <a16:creationId xmlns=""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357188</xdr:colOff>
      <xdr:row>15</xdr:row>
      <xdr:rowOff>47625</xdr:rowOff>
    </xdr:from>
    <xdr:to>
      <xdr:col>38</xdr:col>
      <xdr:colOff>154783</xdr:colOff>
      <xdr:row>21</xdr:row>
      <xdr:rowOff>146277</xdr:rowOff>
    </xdr:to>
    <xdr:graphicFrame macro="">
      <xdr:nvGraphicFramePr>
        <xdr:cNvPr id="9" name="Graf 8">
          <a:extLst>
            <a:ext uri="{FF2B5EF4-FFF2-40B4-BE49-F238E27FC236}">
              <a16:creationId xmlns=""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267606</xdr:colOff>
      <xdr:row>13</xdr:row>
      <xdr:rowOff>114527</xdr:rowOff>
    </xdr:from>
    <xdr:to>
      <xdr:col>49</xdr:col>
      <xdr:colOff>374196</xdr:colOff>
      <xdr:row>23</xdr:row>
      <xdr:rowOff>102054</xdr:rowOff>
    </xdr:to>
    <xdr:graphicFrame macro="">
      <xdr:nvGraphicFramePr>
        <xdr:cNvPr id="18" name="Graf 17">
          <a:extLst>
            <a:ext uri="{FF2B5EF4-FFF2-40B4-BE49-F238E27FC236}">
              <a16:creationId xmlns="" xmlns:a16="http://schemas.microsoft.com/office/drawing/2014/main"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78</xdr:col>
      <xdr:colOff>180975</xdr:colOff>
      <xdr:row>133</xdr:row>
      <xdr:rowOff>57150</xdr:rowOff>
    </xdr:from>
    <xdr:to>
      <xdr:col>89</xdr:col>
      <xdr:colOff>247650</xdr:colOff>
      <xdr:row>148</xdr:row>
      <xdr:rowOff>85725</xdr:rowOff>
    </xdr:to>
    <xdr:graphicFrame macro="">
      <xdr:nvGraphicFramePr>
        <xdr:cNvPr id="23" name="Graf 22">
          <a:extLst>
            <a:ext uri="{FF2B5EF4-FFF2-40B4-BE49-F238E27FC236}">
              <a16:creationId xmlns="" xmlns:a16="http://schemas.microsoft.com/office/drawing/2014/main" id="{00000000-0008-0000-00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114300</xdr:colOff>
      <xdr:row>138</xdr:row>
      <xdr:rowOff>171449</xdr:rowOff>
    </xdr:from>
    <xdr:to>
      <xdr:col>77</xdr:col>
      <xdr:colOff>38100</xdr:colOff>
      <xdr:row>153</xdr:row>
      <xdr:rowOff>114299</xdr:rowOff>
    </xdr:to>
    <xdr:graphicFrame macro="">
      <xdr:nvGraphicFramePr>
        <xdr:cNvPr id="24" name="Graf 23">
          <a:extLst>
            <a:ext uri="{FF2B5EF4-FFF2-40B4-BE49-F238E27FC236}">
              <a16:creationId xmlns="" xmlns:a16="http://schemas.microsoft.com/office/drawing/2014/main" id="{00000000-0008-0000-00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69</xdr:col>
      <xdr:colOff>191861</xdr:colOff>
      <xdr:row>1</xdr:row>
      <xdr:rowOff>119289</xdr:rowOff>
    </xdr:from>
    <xdr:to>
      <xdr:col>78</xdr:col>
      <xdr:colOff>125186</xdr:colOff>
      <xdr:row>13</xdr:row>
      <xdr:rowOff>138340</xdr:rowOff>
    </xdr:to>
    <xdr:graphicFrame macro="">
      <xdr:nvGraphicFramePr>
        <xdr:cNvPr id="25" name="Graf 24">
          <a:extLst>
            <a:ext uri="{FF2B5EF4-FFF2-40B4-BE49-F238E27FC236}">
              <a16:creationId xmlns="" xmlns:a16="http://schemas.microsoft.com/office/drawing/2014/main" id="{00000000-0008-0000-00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75746</xdr:colOff>
      <xdr:row>15</xdr:row>
      <xdr:rowOff>128814</xdr:rowOff>
    </xdr:from>
    <xdr:to>
      <xdr:col>78</xdr:col>
      <xdr:colOff>142421</xdr:colOff>
      <xdr:row>25</xdr:row>
      <xdr:rowOff>138338</xdr:rowOff>
    </xdr:to>
    <xdr:graphicFrame macro="">
      <xdr:nvGraphicFramePr>
        <xdr:cNvPr id="26" name="Graf 25">
          <a:extLst>
            <a:ext uri="{FF2B5EF4-FFF2-40B4-BE49-F238E27FC236}">
              <a16:creationId xmlns="" xmlns:a16="http://schemas.microsoft.com/office/drawing/2014/main" id="{00000000-0008-0000-00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200025</xdr:colOff>
      <xdr:row>18</xdr:row>
      <xdr:rowOff>161925</xdr:rowOff>
    </xdr:from>
    <xdr:to>
      <xdr:col>65</xdr:col>
      <xdr:colOff>76200</xdr:colOff>
      <xdr:row>25</xdr:row>
      <xdr:rowOff>133350</xdr:rowOff>
    </xdr:to>
    <xdr:graphicFrame macro="">
      <xdr:nvGraphicFramePr>
        <xdr:cNvPr id="27" name="Graf 26">
          <a:extLst>
            <a:ext uri="{FF2B5EF4-FFF2-40B4-BE49-F238E27FC236}">
              <a16:creationId xmlns="" xmlns:a16="http://schemas.microsoft.com/office/drawing/2014/main" id="{00000000-0008-0000-00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61</xdr:col>
      <xdr:colOff>28575</xdr:colOff>
      <xdr:row>8</xdr:row>
      <xdr:rowOff>114299</xdr:rowOff>
    </xdr:from>
    <xdr:to>
      <xdr:col>65</xdr:col>
      <xdr:colOff>161925</xdr:colOff>
      <xdr:row>17</xdr:row>
      <xdr:rowOff>152399</xdr:rowOff>
    </xdr:to>
    <xdr:graphicFrame macro="">
      <xdr:nvGraphicFramePr>
        <xdr:cNvPr id="29" name="Graf 28">
          <a:extLst>
            <a:ext uri="{FF2B5EF4-FFF2-40B4-BE49-F238E27FC236}">
              <a16:creationId xmlns="" xmlns:a16="http://schemas.microsoft.com/office/drawing/2014/main" id="{00000000-0008-0000-00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84</xdr:col>
      <xdr:colOff>324255</xdr:colOff>
      <xdr:row>2</xdr:row>
      <xdr:rowOff>172260</xdr:rowOff>
    </xdr:from>
    <xdr:to>
      <xdr:col>90</xdr:col>
      <xdr:colOff>60798</xdr:colOff>
      <xdr:row>15</xdr:row>
      <xdr:rowOff>141862</xdr:rowOff>
    </xdr:to>
    <xdr:graphicFrame macro="">
      <xdr:nvGraphicFramePr>
        <xdr:cNvPr id="39" name="Graf 38">
          <a:extLst>
            <a:ext uri="{FF2B5EF4-FFF2-40B4-BE49-F238E27FC236}">
              <a16:creationId xmlns="" xmlns:a16="http://schemas.microsoft.com/office/drawing/2014/main" id="{00000000-0008-0000-00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84</xdr:col>
      <xdr:colOff>303988</xdr:colOff>
      <xdr:row>17</xdr:row>
      <xdr:rowOff>162128</xdr:rowOff>
    </xdr:from>
    <xdr:to>
      <xdr:col>89</xdr:col>
      <xdr:colOff>395186</xdr:colOff>
      <xdr:row>29</xdr:row>
      <xdr:rowOff>81064</xdr:rowOff>
    </xdr:to>
    <xdr:graphicFrame macro="">
      <xdr:nvGraphicFramePr>
        <xdr:cNvPr id="40" name="Graf 39">
          <a:extLst>
            <a:ext uri="{FF2B5EF4-FFF2-40B4-BE49-F238E27FC236}">
              <a16:creationId xmlns="" xmlns:a16="http://schemas.microsoft.com/office/drawing/2014/main" id="{00000000-0008-0000-00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84</xdr:col>
      <xdr:colOff>243191</xdr:colOff>
      <xdr:row>33</xdr:row>
      <xdr:rowOff>20265</xdr:rowOff>
    </xdr:from>
    <xdr:to>
      <xdr:col>90</xdr:col>
      <xdr:colOff>233058</xdr:colOff>
      <xdr:row>44</xdr:row>
      <xdr:rowOff>131728</xdr:rowOff>
    </xdr:to>
    <xdr:graphicFrame macro="">
      <xdr:nvGraphicFramePr>
        <xdr:cNvPr id="41" name="Graf 40">
          <a:extLst>
            <a:ext uri="{FF2B5EF4-FFF2-40B4-BE49-F238E27FC236}">
              <a16:creationId xmlns="" xmlns:a16="http://schemas.microsoft.com/office/drawing/2014/main" id="{00000000-0008-0000-00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71438</xdr:colOff>
      <xdr:row>39</xdr:row>
      <xdr:rowOff>11905</xdr:rowOff>
    </xdr:from>
    <xdr:to>
      <xdr:col>17</xdr:col>
      <xdr:colOff>11908</xdr:colOff>
      <xdr:row>46</xdr:row>
      <xdr:rowOff>166119</xdr:rowOff>
    </xdr:to>
    <xdr:graphicFrame macro="">
      <xdr:nvGraphicFramePr>
        <xdr:cNvPr id="31" name="Graf 30">
          <a:extLst>
            <a:ext uri="{FF2B5EF4-FFF2-40B4-BE49-F238E27FC236}">
              <a16:creationId xmlns="" xmlns:a16="http://schemas.microsoft.com/office/drawing/2014/main" id="{00000000-0008-0000-00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73707</xdr:colOff>
      <xdr:row>39</xdr:row>
      <xdr:rowOff>26081</xdr:rowOff>
    </xdr:from>
    <xdr:to>
      <xdr:col>23</xdr:col>
      <xdr:colOff>382704</xdr:colOff>
      <xdr:row>48</xdr:row>
      <xdr:rowOff>10206</xdr:rowOff>
    </xdr:to>
    <xdr:graphicFrame macro="">
      <xdr:nvGraphicFramePr>
        <xdr:cNvPr id="33" name="Graf 32">
          <a:extLst>
            <a:ext uri="{FF2B5EF4-FFF2-40B4-BE49-F238E27FC236}">
              <a16:creationId xmlns="" xmlns:a16="http://schemas.microsoft.com/office/drawing/2014/main" id="{00000000-0008-0000-00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445067</xdr:colOff>
      <xdr:row>38</xdr:row>
      <xdr:rowOff>41388</xdr:rowOff>
    </xdr:from>
    <xdr:to>
      <xdr:col>29</xdr:col>
      <xdr:colOff>310129</xdr:colOff>
      <xdr:row>47</xdr:row>
      <xdr:rowOff>68604</xdr:rowOff>
    </xdr:to>
    <xdr:graphicFrame macro="">
      <xdr:nvGraphicFramePr>
        <xdr:cNvPr id="34" name="Graf 33">
          <a:extLst>
            <a:ext uri="{FF2B5EF4-FFF2-40B4-BE49-F238E27FC236}">
              <a16:creationId xmlns="" xmlns:a16="http://schemas.microsoft.com/office/drawing/2014/main" id="{00000000-0008-0000-00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76542</xdr:colOff>
      <xdr:row>13</xdr:row>
      <xdr:rowOff>82777</xdr:rowOff>
    </xdr:from>
    <xdr:to>
      <xdr:col>34</xdr:col>
      <xdr:colOff>269309</xdr:colOff>
      <xdr:row>21</xdr:row>
      <xdr:rowOff>153646</xdr:rowOff>
    </xdr:to>
    <xdr:graphicFrame macro="">
      <xdr:nvGraphicFramePr>
        <xdr:cNvPr id="35" name="Graf 34">
          <a:extLst>
            <a:ext uri="{FF2B5EF4-FFF2-40B4-BE49-F238E27FC236}">
              <a16:creationId xmlns="" xmlns:a16="http://schemas.microsoft.com/office/drawing/2014/main" id="{00000000-0008-0000-00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47625</xdr:colOff>
      <xdr:row>38</xdr:row>
      <xdr:rowOff>23813</xdr:rowOff>
    </xdr:from>
    <xdr:to>
      <xdr:col>4</xdr:col>
      <xdr:colOff>154781</xdr:colOff>
      <xdr:row>46</xdr:row>
      <xdr:rowOff>47625</xdr:rowOff>
    </xdr:to>
    <xdr:graphicFrame macro="">
      <xdr:nvGraphicFramePr>
        <xdr:cNvPr id="36" name="Graf 35">
          <a:extLst>
            <a:ext uri="{FF2B5EF4-FFF2-40B4-BE49-F238E27FC236}">
              <a16:creationId xmlns="" xmlns:a16="http://schemas.microsoft.com/office/drawing/2014/main" id="{00000000-0008-0000-00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319769</xdr:colOff>
      <xdr:row>35</xdr:row>
      <xdr:rowOff>35718</xdr:rowOff>
    </xdr:from>
    <xdr:to>
      <xdr:col>10</xdr:col>
      <xdr:colOff>11908</xdr:colOff>
      <xdr:row>47</xdr:row>
      <xdr:rowOff>107156</xdr:rowOff>
    </xdr:to>
    <xdr:graphicFrame macro="">
      <xdr:nvGraphicFramePr>
        <xdr:cNvPr id="30" name="Graf 29">
          <a:extLst>
            <a:ext uri="{FF2B5EF4-FFF2-40B4-BE49-F238E27FC236}">
              <a16:creationId xmlns="" xmlns:a16="http://schemas.microsoft.com/office/drawing/2014/main" id="{00000000-0008-0000-00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58</xdr:col>
      <xdr:colOff>192768</xdr:colOff>
      <xdr:row>34</xdr:row>
      <xdr:rowOff>158749</xdr:rowOff>
    </xdr:from>
    <xdr:to>
      <xdr:col>66</xdr:col>
      <xdr:colOff>90715</xdr:colOff>
      <xdr:row>55</xdr:row>
      <xdr:rowOff>79374</xdr:rowOff>
    </xdr:to>
    <xdr:graphicFrame macro="">
      <xdr:nvGraphicFramePr>
        <xdr:cNvPr id="38" name="Graf 37">
          <a:extLst>
            <a:ext uri="{FF2B5EF4-FFF2-40B4-BE49-F238E27FC236}">
              <a16:creationId xmlns="" xmlns:a16="http://schemas.microsoft.com/office/drawing/2014/main" id="{00000000-0008-0000-00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67</xdr:col>
      <xdr:colOff>0</xdr:colOff>
      <xdr:row>34</xdr:row>
      <xdr:rowOff>170091</xdr:rowOff>
    </xdr:from>
    <xdr:to>
      <xdr:col>74</xdr:col>
      <xdr:colOff>294822</xdr:colOff>
      <xdr:row>55</xdr:row>
      <xdr:rowOff>102055</xdr:rowOff>
    </xdr:to>
    <xdr:graphicFrame macro="">
      <xdr:nvGraphicFramePr>
        <xdr:cNvPr id="43" name="Graf 42">
          <a:extLst>
            <a:ext uri="{FF2B5EF4-FFF2-40B4-BE49-F238E27FC236}">
              <a16:creationId xmlns="" xmlns:a16="http://schemas.microsoft.com/office/drawing/2014/main" id="{00000000-0008-0000-00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47626</xdr:colOff>
      <xdr:row>37</xdr:row>
      <xdr:rowOff>95249</xdr:rowOff>
    </xdr:from>
    <xdr:to>
      <xdr:col>36</xdr:col>
      <xdr:colOff>261937</xdr:colOff>
      <xdr:row>48</xdr:row>
      <xdr:rowOff>23811</xdr:rowOff>
    </xdr:to>
    <xdr:graphicFrame macro="">
      <xdr:nvGraphicFramePr>
        <xdr:cNvPr id="28" name="Graf 27">
          <a:extLst>
            <a:ext uri="{FF2B5EF4-FFF2-40B4-BE49-F238E27FC236}">
              <a16:creationId xmlns="" xmlns:a16="http://schemas.microsoft.com/office/drawing/2014/main" id="{00000000-0008-0000-0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41</xdr:col>
      <xdr:colOff>71438</xdr:colOff>
      <xdr:row>71</xdr:row>
      <xdr:rowOff>107155</xdr:rowOff>
    </xdr:from>
    <xdr:to>
      <xdr:col>49</xdr:col>
      <xdr:colOff>357188</xdr:colOff>
      <xdr:row>94</xdr:row>
      <xdr:rowOff>142875</xdr:rowOff>
    </xdr:to>
    <xdr:graphicFrame macro="">
      <xdr:nvGraphicFramePr>
        <xdr:cNvPr id="32" name="Graf 31">
          <a:extLst>
            <a:ext uri="{FF2B5EF4-FFF2-40B4-BE49-F238E27FC236}">
              <a16:creationId xmlns="" xmlns:a16="http://schemas.microsoft.com/office/drawing/2014/main" id="{00000000-0008-0000-00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219075</xdr:colOff>
      <xdr:row>11</xdr:row>
      <xdr:rowOff>47625</xdr:rowOff>
    </xdr:from>
    <xdr:to>
      <xdr:col>18</xdr:col>
      <xdr:colOff>438150</xdr:colOff>
      <xdr:row>26</xdr:row>
      <xdr:rowOff>171450</xdr:rowOff>
    </xdr:to>
    <xdr:graphicFrame macro="">
      <xdr:nvGraphicFramePr>
        <xdr:cNvPr id="2" name="Graf 1">
          <a:extLst>
            <a:ext uri="{FF2B5EF4-FFF2-40B4-BE49-F238E27FC236}">
              <a16:creationId xmlns=""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295275</xdr:colOff>
      <xdr:row>10</xdr:row>
      <xdr:rowOff>171451</xdr:rowOff>
    </xdr:from>
    <xdr:to>
      <xdr:col>23</xdr:col>
      <xdr:colOff>514350</xdr:colOff>
      <xdr:row>19</xdr:row>
      <xdr:rowOff>152401</xdr:rowOff>
    </xdr:to>
    <xdr:graphicFrame macro="">
      <xdr:nvGraphicFramePr>
        <xdr:cNvPr id="3" name="Graf 2">
          <a:extLst>
            <a:ext uri="{FF2B5EF4-FFF2-40B4-BE49-F238E27FC236}">
              <a16:creationId xmlns=""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123825</xdr:colOff>
      <xdr:row>23</xdr:row>
      <xdr:rowOff>161924</xdr:rowOff>
    </xdr:from>
    <xdr:to>
      <xdr:col>23</xdr:col>
      <xdr:colOff>9523</xdr:colOff>
      <xdr:row>31</xdr:row>
      <xdr:rowOff>95249</xdr:rowOff>
    </xdr:to>
    <xdr:graphicFrame macro="">
      <xdr:nvGraphicFramePr>
        <xdr:cNvPr id="4" name="Graf 3">
          <a:extLst>
            <a:ext uri="{FF2B5EF4-FFF2-40B4-BE49-F238E27FC236}">
              <a16:creationId xmlns=""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228599</xdr:colOff>
      <xdr:row>0</xdr:row>
      <xdr:rowOff>66675</xdr:rowOff>
    </xdr:from>
    <xdr:to>
      <xdr:col>26</xdr:col>
      <xdr:colOff>180974</xdr:colOff>
      <xdr:row>11</xdr:row>
      <xdr:rowOff>38100</xdr:rowOff>
    </xdr:to>
    <xdr:graphicFrame macro="">
      <xdr:nvGraphicFramePr>
        <xdr:cNvPr id="6" name="Graf 5">
          <a:extLst>
            <a:ext uri="{FF2B5EF4-FFF2-40B4-BE49-F238E27FC236}">
              <a16:creationId xmlns=""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200024</xdr:colOff>
      <xdr:row>32</xdr:row>
      <xdr:rowOff>152400</xdr:rowOff>
    </xdr:from>
    <xdr:to>
      <xdr:col>23</xdr:col>
      <xdr:colOff>276224</xdr:colOff>
      <xdr:row>43</xdr:row>
      <xdr:rowOff>152400</xdr:rowOff>
    </xdr:to>
    <xdr:graphicFrame macro="">
      <xdr:nvGraphicFramePr>
        <xdr:cNvPr id="8" name="Graf 7">
          <a:extLst>
            <a:ext uri="{FF2B5EF4-FFF2-40B4-BE49-F238E27FC236}">
              <a16:creationId xmlns=""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390524</xdr:colOff>
      <xdr:row>2</xdr:row>
      <xdr:rowOff>38099</xdr:rowOff>
    </xdr:from>
    <xdr:to>
      <xdr:col>16</xdr:col>
      <xdr:colOff>266699</xdr:colOff>
      <xdr:row>20</xdr:row>
      <xdr:rowOff>123825</xdr:rowOff>
    </xdr:to>
    <xdr:graphicFrame macro="">
      <xdr:nvGraphicFramePr>
        <xdr:cNvPr id="2" name="Graf 1">
          <a:extLst>
            <a:ext uri="{FF2B5EF4-FFF2-40B4-BE49-F238E27FC236}">
              <a16:creationId xmlns=""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57</xdr:row>
      <xdr:rowOff>38100</xdr:rowOff>
    </xdr:from>
    <xdr:to>
      <xdr:col>22</xdr:col>
      <xdr:colOff>76200</xdr:colOff>
      <xdr:row>67</xdr:row>
      <xdr:rowOff>66674</xdr:rowOff>
    </xdr:to>
    <xdr:graphicFrame macro="">
      <xdr:nvGraphicFramePr>
        <xdr:cNvPr id="3" name="Graf 2">
          <a:extLst>
            <a:ext uri="{FF2B5EF4-FFF2-40B4-BE49-F238E27FC236}">
              <a16:creationId xmlns=""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142875</xdr:colOff>
      <xdr:row>60</xdr:row>
      <xdr:rowOff>104775</xdr:rowOff>
    </xdr:from>
    <xdr:to>
      <xdr:col>8</xdr:col>
      <xdr:colOff>47626</xdr:colOff>
      <xdr:row>70</xdr:row>
      <xdr:rowOff>104775</xdr:rowOff>
    </xdr:to>
    <xdr:graphicFrame macro="">
      <xdr:nvGraphicFramePr>
        <xdr:cNvPr id="4" name="Graf 3">
          <a:extLst>
            <a:ext uri="{FF2B5EF4-FFF2-40B4-BE49-F238E27FC236}">
              <a16:creationId xmlns=""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400050</xdr:colOff>
      <xdr:row>70</xdr:row>
      <xdr:rowOff>38100</xdr:rowOff>
    </xdr:from>
    <xdr:to>
      <xdr:col>19</xdr:col>
      <xdr:colOff>171450</xdr:colOff>
      <xdr:row>80</xdr:row>
      <xdr:rowOff>190500</xdr:rowOff>
    </xdr:to>
    <xdr:graphicFrame macro="">
      <xdr:nvGraphicFramePr>
        <xdr:cNvPr id="5" name="Graf 4">
          <a:extLst>
            <a:ext uri="{FF2B5EF4-FFF2-40B4-BE49-F238E27FC236}">
              <a16:creationId xmlns=""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238124</xdr:colOff>
      <xdr:row>95</xdr:row>
      <xdr:rowOff>47624</xdr:rowOff>
    </xdr:from>
    <xdr:to>
      <xdr:col>27</xdr:col>
      <xdr:colOff>380999</xdr:colOff>
      <xdr:row>111</xdr:row>
      <xdr:rowOff>114300</xdr:rowOff>
    </xdr:to>
    <xdr:graphicFrame macro="">
      <xdr:nvGraphicFramePr>
        <xdr:cNvPr id="6" name="Graf 5">
          <a:extLst>
            <a:ext uri="{FF2B5EF4-FFF2-40B4-BE49-F238E27FC236}">
              <a16:creationId xmlns=""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114301</xdr:colOff>
      <xdr:row>112</xdr:row>
      <xdr:rowOff>19050</xdr:rowOff>
    </xdr:from>
    <xdr:to>
      <xdr:col>20</xdr:col>
      <xdr:colOff>447675</xdr:colOff>
      <xdr:row>119</xdr:row>
      <xdr:rowOff>142874</xdr:rowOff>
    </xdr:to>
    <xdr:graphicFrame macro="">
      <xdr:nvGraphicFramePr>
        <xdr:cNvPr id="7" name="Graf 6">
          <a:extLst>
            <a:ext uri="{FF2B5EF4-FFF2-40B4-BE49-F238E27FC236}">
              <a16:creationId xmlns=""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38099</xdr:colOff>
      <xdr:row>84</xdr:row>
      <xdr:rowOff>123824</xdr:rowOff>
    </xdr:from>
    <xdr:to>
      <xdr:col>22</xdr:col>
      <xdr:colOff>419100</xdr:colOff>
      <xdr:row>114</xdr:row>
      <xdr:rowOff>0</xdr:rowOff>
    </xdr:to>
    <xdr:graphicFrame macro="">
      <xdr:nvGraphicFramePr>
        <xdr:cNvPr id="8" name="Graf 7">
          <a:extLst>
            <a:ext uri="{FF2B5EF4-FFF2-40B4-BE49-F238E27FC236}">
              <a16:creationId xmlns=""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266700</xdr:colOff>
      <xdr:row>124</xdr:row>
      <xdr:rowOff>123825</xdr:rowOff>
    </xdr:from>
    <xdr:to>
      <xdr:col>16</xdr:col>
      <xdr:colOff>9525</xdr:colOff>
      <xdr:row>137</xdr:row>
      <xdr:rowOff>142875</xdr:rowOff>
    </xdr:to>
    <xdr:graphicFrame macro="">
      <xdr:nvGraphicFramePr>
        <xdr:cNvPr id="11" name="Graf 10">
          <a:extLst>
            <a:ext uri="{FF2B5EF4-FFF2-40B4-BE49-F238E27FC236}">
              <a16:creationId xmlns="" xmlns:a16="http://schemas.microsoft.com/office/drawing/2014/main" id="{00000000-0008-0000-0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209550</xdr:colOff>
      <xdr:row>153</xdr:row>
      <xdr:rowOff>190500</xdr:rowOff>
    </xdr:from>
    <xdr:to>
      <xdr:col>15</xdr:col>
      <xdr:colOff>561975</xdr:colOff>
      <xdr:row>167</xdr:row>
      <xdr:rowOff>0</xdr:rowOff>
    </xdr:to>
    <xdr:graphicFrame macro="">
      <xdr:nvGraphicFramePr>
        <xdr:cNvPr id="12" name="Graf 11">
          <a:extLst>
            <a:ext uri="{FF2B5EF4-FFF2-40B4-BE49-F238E27FC236}">
              <a16:creationId xmlns=""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581024</xdr:colOff>
      <xdr:row>175</xdr:row>
      <xdr:rowOff>152399</xdr:rowOff>
    </xdr:from>
    <xdr:to>
      <xdr:col>21</xdr:col>
      <xdr:colOff>152399</xdr:colOff>
      <xdr:row>185</xdr:row>
      <xdr:rowOff>47624</xdr:rowOff>
    </xdr:to>
    <xdr:graphicFrame macro="">
      <xdr:nvGraphicFramePr>
        <xdr:cNvPr id="15" name="Graf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438150</xdr:colOff>
      <xdr:row>192</xdr:row>
      <xdr:rowOff>133350</xdr:rowOff>
    </xdr:from>
    <xdr:to>
      <xdr:col>17</xdr:col>
      <xdr:colOff>133350</xdr:colOff>
      <xdr:row>205</xdr:row>
      <xdr:rowOff>152400</xdr:rowOff>
    </xdr:to>
    <xdr:graphicFrame macro="">
      <xdr:nvGraphicFramePr>
        <xdr:cNvPr id="14" name="Graf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0</xdr:colOff>
      <xdr:row>10</xdr:row>
      <xdr:rowOff>0</xdr:rowOff>
    </xdr:from>
    <xdr:to>
      <xdr:col>22</xdr:col>
      <xdr:colOff>523875</xdr:colOff>
      <xdr:row>28</xdr:row>
      <xdr:rowOff>9525</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753600" y="381000"/>
          <a:ext cx="4181475" cy="3438525"/>
        </a:xfrm>
        <a:prstGeom prst="rect">
          <a:avLst/>
        </a:prstGeom>
        <a:noFill/>
      </xdr:spPr>
    </xdr:pic>
    <xdr:clientData/>
  </xdr:twoCellAnchor>
  <xdr:twoCellAnchor>
    <xdr:from>
      <xdr:col>11</xdr:col>
      <xdr:colOff>409575</xdr:colOff>
      <xdr:row>17</xdr:row>
      <xdr:rowOff>85725</xdr:rowOff>
    </xdr:from>
    <xdr:to>
      <xdr:col>15</xdr:col>
      <xdr:colOff>57149</xdr:colOff>
      <xdr:row>30</xdr:row>
      <xdr:rowOff>38100</xdr:rowOff>
    </xdr:to>
    <xdr:graphicFrame macro="">
      <xdr:nvGraphicFramePr>
        <xdr:cNvPr id="3" name="Graf 2">
          <a:extLst>
            <a:ext uri="{FF2B5EF4-FFF2-40B4-BE49-F238E27FC236}">
              <a16:creationId xmlns=""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704849</xdr:colOff>
      <xdr:row>8</xdr:row>
      <xdr:rowOff>161925</xdr:rowOff>
    </xdr:from>
    <xdr:to>
      <xdr:col>15</xdr:col>
      <xdr:colOff>133348</xdr:colOff>
      <xdr:row>16</xdr:row>
      <xdr:rowOff>152399</xdr:rowOff>
    </xdr:to>
    <xdr:graphicFrame macro="">
      <xdr:nvGraphicFramePr>
        <xdr:cNvPr id="4" name="Graf 3">
          <a:extLst>
            <a:ext uri="{FF2B5EF4-FFF2-40B4-BE49-F238E27FC236}">
              <a16:creationId xmlns=""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761999</xdr:colOff>
      <xdr:row>55</xdr:row>
      <xdr:rowOff>57151</xdr:rowOff>
    </xdr:from>
    <xdr:to>
      <xdr:col>8</xdr:col>
      <xdr:colOff>647700</xdr:colOff>
      <xdr:row>67</xdr:row>
      <xdr:rowOff>161925</xdr:rowOff>
    </xdr:to>
    <xdr:graphicFrame macro="">
      <xdr:nvGraphicFramePr>
        <xdr:cNvPr id="5" name="Graf 4">
          <a:extLst>
            <a:ext uri="{FF2B5EF4-FFF2-40B4-BE49-F238E27FC236}">
              <a16:creationId xmlns=""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209550</xdr:colOff>
      <xdr:row>38</xdr:row>
      <xdr:rowOff>380999</xdr:rowOff>
    </xdr:from>
    <xdr:to>
      <xdr:col>8</xdr:col>
      <xdr:colOff>276225</xdr:colOff>
      <xdr:row>56</xdr:row>
      <xdr:rowOff>114299</xdr:rowOff>
    </xdr:to>
    <xdr:graphicFrame macro="">
      <xdr:nvGraphicFramePr>
        <xdr:cNvPr id="2" name="Graf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133350</xdr:colOff>
      <xdr:row>12</xdr:row>
      <xdr:rowOff>152400</xdr:rowOff>
    </xdr:from>
    <xdr:to>
      <xdr:col>21</xdr:col>
      <xdr:colOff>9526</xdr:colOff>
      <xdr:row>22</xdr:row>
      <xdr:rowOff>161926</xdr:rowOff>
    </xdr:to>
    <xdr:graphicFrame macro="">
      <xdr:nvGraphicFramePr>
        <xdr:cNvPr id="4" name="Graf 3">
          <a:extLst>
            <a:ext uri="{FF2B5EF4-FFF2-40B4-BE49-F238E27FC236}">
              <a16:creationId xmlns=""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161925</xdr:colOff>
      <xdr:row>2</xdr:row>
      <xdr:rowOff>85725</xdr:rowOff>
    </xdr:from>
    <xdr:to>
      <xdr:col>21</xdr:col>
      <xdr:colOff>47625</xdr:colOff>
      <xdr:row>11</xdr:row>
      <xdr:rowOff>152400</xdr:rowOff>
    </xdr:to>
    <xdr:graphicFrame macro="">
      <xdr:nvGraphicFramePr>
        <xdr:cNvPr id="8" name="Graf 7">
          <a:extLst>
            <a:ext uri="{FF2B5EF4-FFF2-40B4-BE49-F238E27FC236}">
              <a16:creationId xmlns=""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590550</xdr:colOff>
      <xdr:row>42</xdr:row>
      <xdr:rowOff>38100</xdr:rowOff>
    </xdr:from>
    <xdr:to>
      <xdr:col>15</xdr:col>
      <xdr:colOff>295275</xdr:colOff>
      <xdr:row>56</xdr:row>
      <xdr:rowOff>114300</xdr:rowOff>
    </xdr:to>
    <xdr:graphicFrame macro="">
      <xdr:nvGraphicFramePr>
        <xdr:cNvPr id="5" name="Graf 4">
          <a:extLst>
            <a:ext uri="{FF2B5EF4-FFF2-40B4-BE49-F238E27FC236}">
              <a16:creationId xmlns=""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161925</xdr:colOff>
      <xdr:row>34</xdr:row>
      <xdr:rowOff>95250</xdr:rowOff>
    </xdr:from>
    <xdr:to>
      <xdr:col>13</xdr:col>
      <xdr:colOff>123825</xdr:colOff>
      <xdr:row>55</xdr:row>
      <xdr:rowOff>142875</xdr:rowOff>
    </xdr:to>
    <xdr:graphicFrame macro="">
      <xdr:nvGraphicFramePr>
        <xdr:cNvPr id="2" name="Graf 2">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114301</xdr:colOff>
      <xdr:row>10</xdr:row>
      <xdr:rowOff>85725</xdr:rowOff>
    </xdr:from>
    <xdr:to>
      <xdr:col>15</xdr:col>
      <xdr:colOff>533401</xdr:colOff>
      <xdr:row>26</xdr:row>
      <xdr:rowOff>85724</xdr:rowOff>
    </xdr:to>
    <xdr:graphicFrame macro="">
      <xdr:nvGraphicFramePr>
        <xdr:cNvPr id="2" name="Graf 1">
          <a:extLst>
            <a:ext uri="{FF2B5EF4-FFF2-40B4-BE49-F238E27FC236}">
              <a16:creationId xmlns=""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409575</xdr:colOff>
      <xdr:row>0</xdr:row>
      <xdr:rowOff>142874</xdr:rowOff>
    </xdr:from>
    <xdr:to>
      <xdr:col>21</xdr:col>
      <xdr:colOff>247649</xdr:colOff>
      <xdr:row>13</xdr:row>
      <xdr:rowOff>95248</xdr:rowOff>
    </xdr:to>
    <xdr:graphicFrame macro="">
      <xdr:nvGraphicFramePr>
        <xdr:cNvPr id="3" name="Graf 2">
          <a:extLst>
            <a:ext uri="{FF2B5EF4-FFF2-40B4-BE49-F238E27FC236}">
              <a16:creationId xmlns=""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523875</xdr:colOff>
      <xdr:row>27</xdr:row>
      <xdr:rowOff>95249</xdr:rowOff>
    </xdr:from>
    <xdr:to>
      <xdr:col>20</xdr:col>
      <xdr:colOff>400049</xdr:colOff>
      <xdr:row>43</xdr:row>
      <xdr:rowOff>38098</xdr:rowOff>
    </xdr:to>
    <xdr:graphicFrame macro="">
      <xdr:nvGraphicFramePr>
        <xdr:cNvPr id="4" name="Graf 3">
          <a:extLst>
            <a:ext uri="{FF2B5EF4-FFF2-40B4-BE49-F238E27FC236}">
              <a16:creationId xmlns=""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581026</xdr:colOff>
      <xdr:row>32</xdr:row>
      <xdr:rowOff>0</xdr:rowOff>
    </xdr:from>
    <xdr:to>
      <xdr:col>27</xdr:col>
      <xdr:colOff>95250</xdr:colOff>
      <xdr:row>44</xdr:row>
      <xdr:rowOff>38100</xdr:rowOff>
    </xdr:to>
    <xdr:graphicFrame macro="">
      <xdr:nvGraphicFramePr>
        <xdr:cNvPr id="5" name="Graf 4">
          <a:extLst>
            <a:ext uri="{FF2B5EF4-FFF2-40B4-BE49-F238E27FC236}">
              <a16:creationId xmlns=""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38100</xdr:colOff>
      <xdr:row>18</xdr:row>
      <xdr:rowOff>180975</xdr:rowOff>
    </xdr:from>
    <xdr:to>
      <xdr:col>18</xdr:col>
      <xdr:colOff>171450</xdr:colOff>
      <xdr:row>29</xdr:row>
      <xdr:rowOff>47625</xdr:rowOff>
    </xdr:to>
    <xdr:graphicFrame macro="">
      <xdr:nvGraphicFramePr>
        <xdr:cNvPr id="2" name="Graf 1">
          <a:extLst>
            <a:ext uri="{FF2B5EF4-FFF2-40B4-BE49-F238E27FC236}">
              <a16:creationId xmlns=""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104774</xdr:colOff>
      <xdr:row>29</xdr:row>
      <xdr:rowOff>123824</xdr:rowOff>
    </xdr:from>
    <xdr:to>
      <xdr:col>18</xdr:col>
      <xdr:colOff>171449</xdr:colOff>
      <xdr:row>40</xdr:row>
      <xdr:rowOff>171449</xdr:rowOff>
    </xdr:to>
    <xdr:graphicFrame macro="">
      <xdr:nvGraphicFramePr>
        <xdr:cNvPr id="3" name="Graf 2">
          <a:extLst>
            <a:ext uri="{FF2B5EF4-FFF2-40B4-BE49-F238E27FC236}">
              <a16:creationId xmlns=""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47624</xdr:colOff>
      <xdr:row>41</xdr:row>
      <xdr:rowOff>0</xdr:rowOff>
    </xdr:from>
    <xdr:to>
      <xdr:col>18</xdr:col>
      <xdr:colOff>514349</xdr:colOff>
      <xdr:row>54</xdr:row>
      <xdr:rowOff>57150</xdr:rowOff>
    </xdr:to>
    <xdr:graphicFrame macro="">
      <xdr:nvGraphicFramePr>
        <xdr:cNvPr id="4" name="Graf 3">
          <a:extLst>
            <a:ext uri="{FF2B5EF4-FFF2-40B4-BE49-F238E27FC236}">
              <a16:creationId xmlns=""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171450</xdr:colOff>
      <xdr:row>62</xdr:row>
      <xdr:rowOff>114300</xdr:rowOff>
    </xdr:from>
    <xdr:to>
      <xdr:col>15</xdr:col>
      <xdr:colOff>476250</xdr:colOff>
      <xdr:row>77</xdr:row>
      <xdr:rowOff>0</xdr:rowOff>
    </xdr:to>
    <xdr:graphicFrame macro="">
      <xdr:nvGraphicFramePr>
        <xdr:cNvPr id="5" name="Graf 4">
          <a:extLst>
            <a:ext uri="{FF2B5EF4-FFF2-40B4-BE49-F238E27FC236}">
              <a16:creationId xmlns=""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104775</xdr:colOff>
      <xdr:row>78</xdr:row>
      <xdr:rowOff>57150</xdr:rowOff>
    </xdr:from>
    <xdr:to>
      <xdr:col>13</xdr:col>
      <xdr:colOff>447675</xdr:colOff>
      <xdr:row>90</xdr:row>
      <xdr:rowOff>28575</xdr:rowOff>
    </xdr:to>
    <xdr:graphicFrame macro="">
      <xdr:nvGraphicFramePr>
        <xdr:cNvPr id="6" name="Graf 5">
          <a:extLst>
            <a:ext uri="{FF2B5EF4-FFF2-40B4-BE49-F238E27FC236}">
              <a16:creationId xmlns="" xmlns:a16="http://schemas.microsoft.com/office/drawing/2014/main" id="{00000000-0008-0000-1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85724</xdr:colOff>
      <xdr:row>27</xdr:row>
      <xdr:rowOff>161925</xdr:rowOff>
    </xdr:from>
    <xdr:to>
      <xdr:col>11</xdr:col>
      <xdr:colOff>609599</xdr:colOff>
      <xdr:row>42</xdr:row>
      <xdr:rowOff>47625</xdr:rowOff>
    </xdr:to>
    <xdr:graphicFrame macro="">
      <xdr:nvGraphicFramePr>
        <xdr:cNvPr id="7" name="Graf 6">
          <a:extLst>
            <a:ext uri="{FF2B5EF4-FFF2-40B4-BE49-F238E27FC236}">
              <a16:creationId xmlns=""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381000</xdr:colOff>
      <xdr:row>3</xdr:row>
      <xdr:rowOff>142875</xdr:rowOff>
    </xdr:from>
    <xdr:to>
      <xdr:col>18</xdr:col>
      <xdr:colOff>76200</xdr:colOff>
      <xdr:row>18</xdr:row>
      <xdr:rowOff>28575</xdr:rowOff>
    </xdr:to>
    <xdr:graphicFrame macro="">
      <xdr:nvGraphicFramePr>
        <xdr:cNvPr id="8" name="Graf 7">
          <a:extLst>
            <a:ext uri="{FF2B5EF4-FFF2-40B4-BE49-F238E27FC236}">
              <a16:creationId xmlns="" xmlns:a16="http://schemas.microsoft.com/office/drawing/2014/main" id="{00000000-0008-0000-1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409575</xdr:colOff>
      <xdr:row>29</xdr:row>
      <xdr:rowOff>19050</xdr:rowOff>
    </xdr:from>
    <xdr:to>
      <xdr:col>21</xdr:col>
      <xdr:colOff>104775</xdr:colOff>
      <xdr:row>43</xdr:row>
      <xdr:rowOff>95250</xdr:rowOff>
    </xdr:to>
    <xdr:graphicFrame macro="">
      <xdr:nvGraphicFramePr>
        <xdr:cNvPr id="9" name="Graf 8">
          <a:extLst>
            <a:ext uri="{FF2B5EF4-FFF2-40B4-BE49-F238E27FC236}">
              <a16:creationId xmlns="" xmlns:a16="http://schemas.microsoft.com/office/drawing/2014/main"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238125</xdr:colOff>
      <xdr:row>13</xdr:row>
      <xdr:rowOff>57149</xdr:rowOff>
    </xdr:from>
    <xdr:to>
      <xdr:col>15</xdr:col>
      <xdr:colOff>38099</xdr:colOff>
      <xdr:row>25</xdr:row>
      <xdr:rowOff>9524</xdr:rowOff>
    </xdr:to>
    <xdr:graphicFrame macro="">
      <xdr:nvGraphicFramePr>
        <xdr:cNvPr id="2" name="Graf 1">
          <a:extLst>
            <a:ext uri="{FF2B5EF4-FFF2-40B4-BE49-F238E27FC236}">
              <a16:creationId xmlns=""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34</xdr:col>
      <xdr:colOff>85724</xdr:colOff>
      <xdr:row>11</xdr:row>
      <xdr:rowOff>66675</xdr:rowOff>
    </xdr:from>
    <xdr:to>
      <xdr:col>38</xdr:col>
      <xdr:colOff>200023</xdr:colOff>
      <xdr:row>21</xdr:row>
      <xdr:rowOff>57149</xdr:rowOff>
    </xdr:to>
    <xdr:graphicFrame macro="">
      <xdr:nvGraphicFramePr>
        <xdr:cNvPr id="2" name="Graf 1">
          <a:extLst>
            <a:ext uri="{FF2B5EF4-FFF2-40B4-BE49-F238E27FC236}">
              <a16:creationId xmlns="" xmlns:a16="http://schemas.microsoft.com/office/drawing/2014/main" id="{65256A88-5B9E-42CE-B4FC-1AC207910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7</xdr:row>
      <xdr:rowOff>57149</xdr:rowOff>
    </xdr:from>
    <xdr:to>
      <xdr:col>16</xdr:col>
      <xdr:colOff>76199</xdr:colOff>
      <xdr:row>17</xdr:row>
      <xdr:rowOff>28574</xdr:rowOff>
    </xdr:to>
    <xdr:graphicFrame macro="">
      <xdr:nvGraphicFramePr>
        <xdr:cNvPr id="2" name="Graf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161925</xdr:colOff>
      <xdr:row>32</xdr:row>
      <xdr:rowOff>57150</xdr:rowOff>
    </xdr:from>
    <xdr:to>
      <xdr:col>13</xdr:col>
      <xdr:colOff>523875</xdr:colOff>
      <xdr:row>44</xdr:row>
      <xdr:rowOff>0</xdr:rowOff>
    </xdr:to>
    <xdr:graphicFrame macro="">
      <xdr:nvGraphicFramePr>
        <xdr:cNvPr id="3" name="Graf 2">
          <a:extLst>
            <a:ext uri="{FF2B5EF4-FFF2-40B4-BE49-F238E27FC236}">
              <a16:creationId xmlns="" xmlns:a16="http://schemas.microsoft.com/office/drawing/2014/main" id="{8465B19E-198C-40C3-8073-33968FD36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171450</xdr:colOff>
      <xdr:row>19</xdr:row>
      <xdr:rowOff>28575</xdr:rowOff>
    </xdr:from>
    <xdr:to>
      <xdr:col>10</xdr:col>
      <xdr:colOff>133350</xdr:colOff>
      <xdr:row>30</xdr:row>
      <xdr:rowOff>28575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38101</xdr:colOff>
      <xdr:row>14</xdr:row>
      <xdr:rowOff>85724</xdr:rowOff>
    </xdr:from>
    <xdr:to>
      <xdr:col>17</xdr:col>
      <xdr:colOff>171450</xdr:colOff>
      <xdr:row>25</xdr:row>
      <xdr:rowOff>190499</xdr:rowOff>
    </xdr:to>
    <xdr:graphicFrame macro="">
      <xdr:nvGraphicFramePr>
        <xdr:cNvPr id="2" name="Graf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209550</xdr:colOff>
      <xdr:row>14</xdr:row>
      <xdr:rowOff>95250</xdr:rowOff>
    </xdr:from>
    <xdr:to>
      <xdr:col>21</xdr:col>
      <xdr:colOff>266700</xdr:colOff>
      <xdr:row>26</xdr:row>
      <xdr:rowOff>38100</xdr:rowOff>
    </xdr:to>
    <xdr:graphicFrame macro="">
      <xdr:nvGraphicFramePr>
        <xdr:cNvPr id="3" name="Graf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123825</xdr:colOff>
      <xdr:row>37</xdr:row>
      <xdr:rowOff>114300</xdr:rowOff>
    </xdr:from>
    <xdr:to>
      <xdr:col>28</xdr:col>
      <xdr:colOff>219074</xdr:colOff>
      <xdr:row>46</xdr:row>
      <xdr:rowOff>190499</xdr:rowOff>
    </xdr:to>
    <xdr:graphicFrame macro="">
      <xdr:nvGraphicFramePr>
        <xdr:cNvPr id="4" name="Graf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47624</xdr:colOff>
      <xdr:row>53</xdr:row>
      <xdr:rowOff>9524</xdr:rowOff>
    </xdr:from>
    <xdr:to>
      <xdr:col>18</xdr:col>
      <xdr:colOff>95249</xdr:colOff>
      <xdr:row>62</xdr:row>
      <xdr:rowOff>114299</xdr:rowOff>
    </xdr:to>
    <xdr:graphicFrame macro="">
      <xdr:nvGraphicFramePr>
        <xdr:cNvPr id="6" name="Graf 5">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281668</xdr:colOff>
      <xdr:row>82</xdr:row>
      <xdr:rowOff>95249</xdr:rowOff>
    </xdr:from>
    <xdr:to>
      <xdr:col>10</xdr:col>
      <xdr:colOff>180975</xdr:colOff>
      <xdr:row>94</xdr:row>
      <xdr:rowOff>28574</xdr:rowOff>
    </xdr:to>
    <xdr:graphicFrame macro="">
      <xdr:nvGraphicFramePr>
        <xdr:cNvPr id="7" name="Graf 6">
          <a:extLst>
            <a:ext uri="{FF2B5EF4-FFF2-40B4-BE49-F238E27FC236}">
              <a16:creationId xmlns=""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204602</xdr:colOff>
      <xdr:row>34</xdr:row>
      <xdr:rowOff>136195</xdr:rowOff>
    </xdr:from>
    <xdr:to>
      <xdr:col>72</xdr:col>
      <xdr:colOff>133474</xdr:colOff>
      <xdr:row>49</xdr:row>
      <xdr:rowOff>7794</xdr:rowOff>
    </xdr:to>
    <xdr:graphicFrame macro="">
      <xdr:nvGraphicFramePr>
        <xdr:cNvPr id="9" name="Graf 8">
          <a:extLst>
            <a:ext uri="{FF2B5EF4-FFF2-40B4-BE49-F238E27FC236}">
              <a16:creationId xmlns=""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180975</xdr:colOff>
      <xdr:row>8</xdr:row>
      <xdr:rowOff>114300</xdr:rowOff>
    </xdr:from>
    <xdr:to>
      <xdr:col>56</xdr:col>
      <xdr:colOff>66675</xdr:colOff>
      <xdr:row>18</xdr:row>
      <xdr:rowOff>123825</xdr:rowOff>
    </xdr:to>
    <xdr:graphicFrame macro="">
      <xdr:nvGraphicFramePr>
        <xdr:cNvPr id="10" name="Graf 9">
          <a:extLst>
            <a:ext uri="{FF2B5EF4-FFF2-40B4-BE49-F238E27FC236}">
              <a16:creationId xmlns=""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61</xdr:col>
      <xdr:colOff>66674</xdr:colOff>
      <xdr:row>8</xdr:row>
      <xdr:rowOff>76200</xdr:rowOff>
    </xdr:from>
    <xdr:to>
      <xdr:col>74</xdr:col>
      <xdr:colOff>152399</xdr:colOff>
      <xdr:row>22</xdr:row>
      <xdr:rowOff>0</xdr:rowOff>
    </xdr:to>
    <xdr:graphicFrame macro="">
      <xdr:nvGraphicFramePr>
        <xdr:cNvPr id="11" name="Graf 10">
          <a:extLst>
            <a:ext uri="{FF2B5EF4-FFF2-40B4-BE49-F238E27FC236}">
              <a16:creationId xmlns=""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133350</xdr:colOff>
      <xdr:row>53</xdr:row>
      <xdr:rowOff>9525</xdr:rowOff>
    </xdr:from>
    <xdr:to>
      <xdr:col>24</xdr:col>
      <xdr:colOff>142874</xdr:colOff>
      <xdr:row>61</xdr:row>
      <xdr:rowOff>9524</xdr:rowOff>
    </xdr:to>
    <xdr:graphicFrame macro="">
      <xdr:nvGraphicFramePr>
        <xdr:cNvPr id="16" name="Graf 15">
          <a:extLst>
            <a:ext uri="{FF2B5EF4-FFF2-40B4-BE49-F238E27FC236}">
              <a16:creationId xmlns=""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72</xdr:col>
      <xdr:colOff>255320</xdr:colOff>
      <xdr:row>34</xdr:row>
      <xdr:rowOff>130503</xdr:rowOff>
    </xdr:from>
    <xdr:to>
      <xdr:col>85</xdr:col>
      <xdr:colOff>169595</xdr:colOff>
      <xdr:row>48</xdr:row>
      <xdr:rowOff>159079</xdr:rowOff>
    </xdr:to>
    <xdr:graphicFrame macro="">
      <xdr:nvGraphicFramePr>
        <xdr:cNvPr id="15" name="Graf 14">
          <a:extLst>
            <a:ext uri="{FF2B5EF4-FFF2-40B4-BE49-F238E27FC236}">
              <a16:creationId xmlns=""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44</xdr:col>
      <xdr:colOff>306780</xdr:colOff>
      <xdr:row>34</xdr:row>
      <xdr:rowOff>141884</xdr:rowOff>
    </xdr:from>
    <xdr:to>
      <xdr:col>58</xdr:col>
      <xdr:colOff>135330</xdr:colOff>
      <xdr:row>48</xdr:row>
      <xdr:rowOff>151410</xdr:rowOff>
    </xdr:to>
    <xdr:graphicFrame macro="">
      <xdr:nvGraphicFramePr>
        <xdr:cNvPr id="18" name="Graf 17">
          <a:extLst>
            <a:ext uri="{FF2B5EF4-FFF2-40B4-BE49-F238E27FC236}">
              <a16:creationId xmlns="" xmlns:a16="http://schemas.microsoft.com/office/drawing/2014/main" id="{00000000-0008-0000-02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72</xdr:col>
      <xdr:colOff>288347</xdr:colOff>
      <xdr:row>52</xdr:row>
      <xdr:rowOff>41935</xdr:rowOff>
    </xdr:from>
    <xdr:to>
      <xdr:col>86</xdr:col>
      <xdr:colOff>178254</xdr:colOff>
      <xdr:row>72</xdr:row>
      <xdr:rowOff>108608</xdr:rowOff>
    </xdr:to>
    <xdr:graphicFrame macro="">
      <xdr:nvGraphicFramePr>
        <xdr:cNvPr id="17" name="Graf 16">
          <a:extLst>
            <a:ext uri="{FF2B5EF4-FFF2-40B4-BE49-F238E27FC236}">
              <a16:creationId xmlns="" xmlns:a16="http://schemas.microsoft.com/office/drawing/2014/main"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86</xdr:col>
      <xdr:colOff>267564</xdr:colOff>
      <xdr:row>34</xdr:row>
      <xdr:rowOff>133350</xdr:rowOff>
    </xdr:from>
    <xdr:to>
      <xdr:col>99</xdr:col>
      <xdr:colOff>148441</xdr:colOff>
      <xdr:row>49</xdr:row>
      <xdr:rowOff>0</xdr:rowOff>
    </xdr:to>
    <xdr:graphicFrame macro="">
      <xdr:nvGraphicFramePr>
        <xdr:cNvPr id="20" name="Graf 19">
          <a:extLst>
            <a:ext uri="{FF2B5EF4-FFF2-40B4-BE49-F238E27FC236}">
              <a16:creationId xmlns="" xmlns:a16="http://schemas.microsoft.com/office/drawing/2014/main" id="{00000000-0008-0000-0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58</xdr:col>
      <xdr:colOff>94384</xdr:colOff>
      <xdr:row>52</xdr:row>
      <xdr:rowOff>49604</xdr:rowOff>
    </xdr:from>
    <xdr:to>
      <xdr:col>72</xdr:col>
      <xdr:colOff>179986</xdr:colOff>
      <xdr:row>72</xdr:row>
      <xdr:rowOff>130380</xdr:rowOff>
    </xdr:to>
    <xdr:graphicFrame macro="">
      <xdr:nvGraphicFramePr>
        <xdr:cNvPr id="23" name="Graf 22">
          <a:extLst>
            <a:ext uri="{FF2B5EF4-FFF2-40B4-BE49-F238E27FC236}">
              <a16:creationId xmlns=""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243071</xdr:colOff>
      <xdr:row>76</xdr:row>
      <xdr:rowOff>41933</xdr:rowOff>
    </xdr:from>
    <xdr:to>
      <xdr:col>63</xdr:col>
      <xdr:colOff>281915</xdr:colOff>
      <xdr:row>88</xdr:row>
      <xdr:rowOff>108610</xdr:rowOff>
    </xdr:to>
    <xdr:graphicFrame macro="">
      <xdr:nvGraphicFramePr>
        <xdr:cNvPr id="21" name="Graf 20">
          <a:extLst>
            <a:ext uri="{FF2B5EF4-FFF2-40B4-BE49-F238E27FC236}">
              <a16:creationId xmlns="" xmlns:a16="http://schemas.microsoft.com/office/drawing/2014/main" id="{00000000-0008-0000-02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266700</xdr:colOff>
      <xdr:row>109</xdr:row>
      <xdr:rowOff>76200</xdr:rowOff>
    </xdr:from>
    <xdr:to>
      <xdr:col>12</xdr:col>
      <xdr:colOff>85725</xdr:colOff>
      <xdr:row>123</xdr:row>
      <xdr:rowOff>152400</xdr:rowOff>
    </xdr:to>
    <xdr:graphicFrame macro="">
      <xdr:nvGraphicFramePr>
        <xdr:cNvPr id="28" name="Graf 27">
          <a:extLst>
            <a:ext uri="{FF2B5EF4-FFF2-40B4-BE49-F238E27FC236}">
              <a16:creationId xmlns="" xmlns:a16="http://schemas.microsoft.com/office/drawing/2014/main" id="{00000000-0008-0000-02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304799</xdr:colOff>
      <xdr:row>175</xdr:row>
      <xdr:rowOff>57150</xdr:rowOff>
    </xdr:from>
    <xdr:to>
      <xdr:col>36</xdr:col>
      <xdr:colOff>9524</xdr:colOff>
      <xdr:row>191</xdr:row>
      <xdr:rowOff>47625</xdr:rowOff>
    </xdr:to>
    <xdr:graphicFrame macro="">
      <xdr:nvGraphicFramePr>
        <xdr:cNvPr id="29" name="Graf 28">
          <a:extLst>
            <a:ext uri="{FF2B5EF4-FFF2-40B4-BE49-F238E27FC236}">
              <a16:creationId xmlns="" xmlns:a16="http://schemas.microsoft.com/office/drawing/2014/main" id="{00000000-0008-0000-02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228600</xdr:colOff>
      <xdr:row>147</xdr:row>
      <xdr:rowOff>161924</xdr:rowOff>
    </xdr:from>
    <xdr:to>
      <xdr:col>27</xdr:col>
      <xdr:colOff>247650</xdr:colOff>
      <xdr:row>163</xdr:row>
      <xdr:rowOff>152399</xdr:rowOff>
    </xdr:to>
    <xdr:graphicFrame macro="">
      <xdr:nvGraphicFramePr>
        <xdr:cNvPr id="24" name="Graf 23">
          <a:extLst>
            <a:ext uri="{FF2B5EF4-FFF2-40B4-BE49-F238E27FC236}">
              <a16:creationId xmlns="" xmlns:a16="http://schemas.microsoft.com/office/drawing/2014/main" id="{00000000-0008-0000-02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152400</xdr:colOff>
      <xdr:row>244</xdr:row>
      <xdr:rowOff>76199</xdr:rowOff>
    </xdr:from>
    <xdr:to>
      <xdr:col>25</xdr:col>
      <xdr:colOff>228600</xdr:colOff>
      <xdr:row>262</xdr:row>
      <xdr:rowOff>38098</xdr:rowOff>
    </xdr:to>
    <xdr:graphicFrame macro="">
      <xdr:nvGraphicFramePr>
        <xdr:cNvPr id="25" name="Graf 24">
          <a:extLst>
            <a:ext uri="{FF2B5EF4-FFF2-40B4-BE49-F238E27FC236}">
              <a16:creationId xmlns="" xmlns:a16="http://schemas.microsoft.com/office/drawing/2014/main" id="{00000000-0008-0000-02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11</xdr:col>
      <xdr:colOff>66675</xdr:colOff>
      <xdr:row>263</xdr:row>
      <xdr:rowOff>161924</xdr:rowOff>
    </xdr:from>
    <xdr:to>
      <xdr:col>23</xdr:col>
      <xdr:colOff>28574</xdr:colOff>
      <xdr:row>282</xdr:row>
      <xdr:rowOff>180973</xdr:rowOff>
    </xdr:to>
    <xdr:pic>
      <xdr:nvPicPr>
        <xdr:cNvPr id="26" name="Obrázek 25" descr="giacomini 999.PNG">
          <a:extLst>
            <a:ext uri="{FF2B5EF4-FFF2-40B4-BE49-F238E27FC236}">
              <a16:creationId xmlns="" xmlns:a16="http://schemas.microsoft.com/office/drawing/2014/main" id="{00000000-0008-0000-0200-00001A000000}"/>
            </a:ext>
          </a:extLst>
        </xdr:cNvPr>
        <xdr:cNvPicPr>
          <a:picLocks noChangeAspect="1"/>
        </xdr:cNvPicPr>
      </xdr:nvPicPr>
      <xdr:blipFill>
        <a:blip xmlns:r="http://schemas.openxmlformats.org/officeDocument/2006/relationships" r:embed="rId20"/>
        <a:stretch>
          <a:fillRect/>
        </a:stretch>
      </xdr:blipFill>
      <xdr:spPr>
        <a:xfrm>
          <a:off x="4143375" y="52501799"/>
          <a:ext cx="4076699" cy="3638549"/>
        </a:xfrm>
        <a:prstGeom prst="rect">
          <a:avLst/>
        </a:prstGeom>
      </xdr:spPr>
    </xdr:pic>
    <xdr:clientData/>
  </xdr:twoCellAnchor>
  <xdr:twoCellAnchor>
    <xdr:from>
      <xdr:col>26</xdr:col>
      <xdr:colOff>47626</xdr:colOff>
      <xdr:row>244</xdr:row>
      <xdr:rowOff>76200</xdr:rowOff>
    </xdr:from>
    <xdr:to>
      <xdr:col>38</xdr:col>
      <xdr:colOff>257176</xdr:colOff>
      <xdr:row>262</xdr:row>
      <xdr:rowOff>38100</xdr:rowOff>
    </xdr:to>
    <xdr:graphicFrame macro="">
      <xdr:nvGraphicFramePr>
        <xdr:cNvPr id="30" name="Graf 29">
          <a:extLst>
            <a:ext uri="{FF2B5EF4-FFF2-40B4-BE49-F238E27FC236}">
              <a16:creationId xmlns="" xmlns:a16="http://schemas.microsoft.com/office/drawing/2014/main" id="{00000000-0008-0000-02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25</xdr:col>
      <xdr:colOff>209551</xdr:colOff>
      <xdr:row>262</xdr:row>
      <xdr:rowOff>28575</xdr:rowOff>
    </xdr:from>
    <xdr:to>
      <xdr:col>38</xdr:col>
      <xdr:colOff>304801</xdr:colOff>
      <xdr:row>284</xdr:row>
      <xdr:rowOff>57856</xdr:rowOff>
    </xdr:to>
    <xdr:pic>
      <xdr:nvPicPr>
        <xdr:cNvPr id="31" name="Obrázek 30" descr="giacomini-nove-celek.PNG">
          <a:extLst>
            <a:ext uri="{FF2B5EF4-FFF2-40B4-BE49-F238E27FC236}">
              <a16:creationId xmlns="" xmlns:a16="http://schemas.microsoft.com/office/drawing/2014/main" id="{00000000-0008-0000-0200-00001F000000}"/>
            </a:ext>
          </a:extLst>
        </xdr:cNvPr>
        <xdr:cNvPicPr>
          <a:picLocks noChangeAspect="1"/>
        </xdr:cNvPicPr>
      </xdr:nvPicPr>
      <xdr:blipFill>
        <a:blip xmlns:r="http://schemas.openxmlformats.org/officeDocument/2006/relationships" r:embed="rId22"/>
        <a:stretch>
          <a:fillRect/>
        </a:stretch>
      </xdr:blipFill>
      <xdr:spPr>
        <a:xfrm>
          <a:off x="8286751" y="52177950"/>
          <a:ext cx="4552950" cy="4220281"/>
        </a:xfrm>
        <a:prstGeom prst="rect">
          <a:avLst/>
        </a:prstGeom>
      </xdr:spPr>
    </xdr:pic>
    <xdr:clientData/>
  </xdr:twoCellAnchor>
  <xdr:twoCellAnchor>
    <xdr:from>
      <xdr:col>25</xdr:col>
      <xdr:colOff>257174</xdr:colOff>
      <xdr:row>224</xdr:row>
      <xdr:rowOff>76200</xdr:rowOff>
    </xdr:from>
    <xdr:to>
      <xdr:col>38</xdr:col>
      <xdr:colOff>609599</xdr:colOff>
      <xdr:row>243</xdr:row>
      <xdr:rowOff>142875</xdr:rowOff>
    </xdr:to>
    <xdr:graphicFrame macro="">
      <xdr:nvGraphicFramePr>
        <xdr:cNvPr id="32" name="Graf 31">
          <a:extLst>
            <a:ext uri="{FF2B5EF4-FFF2-40B4-BE49-F238E27FC236}">
              <a16:creationId xmlns=""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161925</xdr:colOff>
      <xdr:row>235</xdr:row>
      <xdr:rowOff>9524</xdr:rowOff>
    </xdr:from>
    <xdr:to>
      <xdr:col>3</xdr:col>
      <xdr:colOff>209549</xdr:colOff>
      <xdr:row>244</xdr:row>
      <xdr:rowOff>85724</xdr:rowOff>
    </xdr:to>
    <xdr:graphicFrame macro="">
      <xdr:nvGraphicFramePr>
        <xdr:cNvPr id="34" name="Graf 33">
          <a:extLst>
            <a:ext uri="{FF2B5EF4-FFF2-40B4-BE49-F238E27FC236}">
              <a16:creationId xmlns="" xmlns:a16="http://schemas.microsoft.com/office/drawing/2014/main" id="{00000000-0008-0000-02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85725</xdr:colOff>
      <xdr:row>284</xdr:row>
      <xdr:rowOff>152400</xdr:rowOff>
    </xdr:from>
    <xdr:to>
      <xdr:col>29</xdr:col>
      <xdr:colOff>38100</xdr:colOff>
      <xdr:row>299</xdr:row>
      <xdr:rowOff>38100</xdr:rowOff>
    </xdr:to>
    <xdr:graphicFrame macro="">
      <xdr:nvGraphicFramePr>
        <xdr:cNvPr id="35" name="Graf 34">
          <a:extLst>
            <a:ext uri="{FF2B5EF4-FFF2-40B4-BE49-F238E27FC236}">
              <a16:creationId xmlns="" xmlns:a16="http://schemas.microsoft.com/office/drawing/2014/main" id="{00000000-0008-0000-02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114300</xdr:colOff>
      <xdr:row>300</xdr:row>
      <xdr:rowOff>38100</xdr:rowOff>
    </xdr:from>
    <xdr:to>
      <xdr:col>15</xdr:col>
      <xdr:colOff>38100</xdr:colOff>
      <xdr:row>306</xdr:row>
      <xdr:rowOff>152400</xdr:rowOff>
    </xdr:to>
    <xdr:graphicFrame macro="">
      <xdr:nvGraphicFramePr>
        <xdr:cNvPr id="33" name="Graf 32">
          <a:extLst>
            <a:ext uri="{FF2B5EF4-FFF2-40B4-BE49-F238E27FC236}">
              <a16:creationId xmlns="" xmlns:a16="http://schemas.microsoft.com/office/drawing/2014/main" id="{00000000-0008-0000-0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95249</xdr:colOff>
      <xdr:row>299</xdr:row>
      <xdr:rowOff>152400</xdr:rowOff>
    </xdr:from>
    <xdr:to>
      <xdr:col>37</xdr:col>
      <xdr:colOff>57149</xdr:colOff>
      <xdr:row>320</xdr:row>
      <xdr:rowOff>47625</xdr:rowOff>
    </xdr:to>
    <xdr:graphicFrame macro="">
      <xdr:nvGraphicFramePr>
        <xdr:cNvPr id="36" name="Graf 35">
          <a:extLst>
            <a:ext uri="{FF2B5EF4-FFF2-40B4-BE49-F238E27FC236}">
              <a16:creationId xmlns="" xmlns:a16="http://schemas.microsoft.com/office/drawing/2014/main" id="{00000000-0008-0000-02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27</xdr:col>
      <xdr:colOff>228599</xdr:colOff>
      <xdr:row>320</xdr:row>
      <xdr:rowOff>171450</xdr:rowOff>
    </xdr:from>
    <xdr:to>
      <xdr:col>35</xdr:col>
      <xdr:colOff>180974</xdr:colOff>
      <xdr:row>333</xdr:row>
      <xdr:rowOff>95251</xdr:rowOff>
    </xdr:to>
    <xdr:graphicFrame macro="">
      <xdr:nvGraphicFramePr>
        <xdr:cNvPr id="37" name="Graf 36">
          <a:extLst>
            <a:ext uri="{FF2B5EF4-FFF2-40B4-BE49-F238E27FC236}">
              <a16:creationId xmlns="" xmlns:a16="http://schemas.microsoft.com/office/drawing/2014/main" id="{00000000-0008-0000-02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0</xdr:colOff>
      <xdr:row>225</xdr:row>
      <xdr:rowOff>133350</xdr:rowOff>
    </xdr:from>
    <xdr:to>
      <xdr:col>25</xdr:col>
      <xdr:colOff>66675</xdr:colOff>
      <xdr:row>234</xdr:row>
      <xdr:rowOff>180974</xdr:rowOff>
    </xdr:to>
    <xdr:graphicFrame macro="">
      <xdr:nvGraphicFramePr>
        <xdr:cNvPr id="39" name="Graf 38">
          <a:extLst>
            <a:ext uri="{FF2B5EF4-FFF2-40B4-BE49-F238E27FC236}">
              <a16:creationId xmlns="" xmlns:a16="http://schemas.microsoft.com/office/drawing/2014/main" id="{00000000-0008-0000-02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171450</xdr:colOff>
      <xdr:row>66</xdr:row>
      <xdr:rowOff>38100</xdr:rowOff>
    </xdr:from>
    <xdr:to>
      <xdr:col>34</xdr:col>
      <xdr:colOff>323850</xdr:colOff>
      <xdr:row>85</xdr:row>
      <xdr:rowOff>76200</xdr:rowOff>
    </xdr:to>
    <xdr:graphicFrame macro="">
      <xdr:nvGraphicFramePr>
        <xdr:cNvPr id="40" name="Graf 39">
          <a:extLst>
            <a:ext uri="{FF2B5EF4-FFF2-40B4-BE49-F238E27FC236}">
              <a16:creationId xmlns="" xmlns:a16="http://schemas.microsoft.com/office/drawing/2014/main" id="{00000000-0008-0000-02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171450</xdr:colOff>
      <xdr:row>89</xdr:row>
      <xdr:rowOff>0</xdr:rowOff>
    </xdr:from>
    <xdr:to>
      <xdr:col>34</xdr:col>
      <xdr:colOff>19050</xdr:colOff>
      <xdr:row>99</xdr:row>
      <xdr:rowOff>95250</xdr:rowOff>
    </xdr:to>
    <xdr:graphicFrame macro="">
      <xdr:nvGraphicFramePr>
        <xdr:cNvPr id="38" name="Graf 37">
          <a:extLst>
            <a:ext uri="{FF2B5EF4-FFF2-40B4-BE49-F238E27FC236}">
              <a16:creationId xmlns="" xmlns:a16="http://schemas.microsoft.com/office/drawing/2014/main" id="{00000000-0008-0000-02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29</xdr:col>
      <xdr:colOff>238124</xdr:colOff>
      <xdr:row>110</xdr:row>
      <xdr:rowOff>142875</xdr:rowOff>
    </xdr:from>
    <xdr:to>
      <xdr:col>38</xdr:col>
      <xdr:colOff>238125</xdr:colOff>
      <xdr:row>125</xdr:row>
      <xdr:rowOff>152400</xdr:rowOff>
    </xdr:to>
    <xdr:graphicFrame macro="">
      <xdr:nvGraphicFramePr>
        <xdr:cNvPr id="42" name="Graf 41">
          <a:extLst>
            <a:ext uri="{FF2B5EF4-FFF2-40B4-BE49-F238E27FC236}">
              <a16:creationId xmlns="" xmlns:a16="http://schemas.microsoft.com/office/drawing/2014/main" id="{00000000-0008-0000-02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27</xdr:col>
      <xdr:colOff>123825</xdr:colOff>
      <xdr:row>128</xdr:row>
      <xdr:rowOff>104775</xdr:rowOff>
    </xdr:from>
    <xdr:to>
      <xdr:col>35</xdr:col>
      <xdr:colOff>161924</xdr:colOff>
      <xdr:row>142</xdr:row>
      <xdr:rowOff>180975</xdr:rowOff>
    </xdr:to>
    <xdr:graphicFrame macro="">
      <xdr:nvGraphicFramePr>
        <xdr:cNvPr id="41" name="Graf 40">
          <a:extLst>
            <a:ext uri="{FF2B5EF4-FFF2-40B4-BE49-F238E27FC236}">
              <a16:creationId xmlns="" xmlns:a16="http://schemas.microsoft.com/office/drawing/2014/main" id="{00000000-0008-0000-02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295275</xdr:colOff>
      <xdr:row>337</xdr:row>
      <xdr:rowOff>38100</xdr:rowOff>
    </xdr:from>
    <xdr:to>
      <xdr:col>33</xdr:col>
      <xdr:colOff>123825</xdr:colOff>
      <xdr:row>351</xdr:row>
      <xdr:rowOff>114300</xdr:rowOff>
    </xdr:to>
    <xdr:graphicFrame macro="">
      <xdr:nvGraphicFramePr>
        <xdr:cNvPr id="43" name="Graf 42">
          <a:extLst>
            <a:ext uri="{FF2B5EF4-FFF2-40B4-BE49-F238E27FC236}">
              <a16:creationId xmlns="" xmlns:a16="http://schemas.microsoft.com/office/drawing/2014/main" id="{00000000-0008-0000-02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42</xdr:col>
      <xdr:colOff>57151</xdr:colOff>
      <xdr:row>69</xdr:row>
      <xdr:rowOff>47624</xdr:rowOff>
    </xdr:from>
    <xdr:to>
      <xdr:col>49</xdr:col>
      <xdr:colOff>57151</xdr:colOff>
      <xdr:row>79</xdr:row>
      <xdr:rowOff>19049</xdr:rowOff>
    </xdr:to>
    <xdr:graphicFrame macro="">
      <xdr:nvGraphicFramePr>
        <xdr:cNvPr id="5" name="Graf 4">
          <a:extLst>
            <a:ext uri="{FF2B5EF4-FFF2-40B4-BE49-F238E27FC236}">
              <a16:creationId xmlns="" xmlns:a16="http://schemas.microsoft.com/office/drawing/2014/main" id="{39AD7418-4403-4E84-A6AA-39B2C7FEBB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39</xdr:col>
      <xdr:colOff>19049</xdr:colOff>
      <xdr:row>103</xdr:row>
      <xdr:rowOff>76199</xdr:rowOff>
    </xdr:from>
    <xdr:to>
      <xdr:col>51</xdr:col>
      <xdr:colOff>161924</xdr:colOff>
      <xdr:row>115</xdr:row>
      <xdr:rowOff>152399</xdr:rowOff>
    </xdr:to>
    <xdr:graphicFrame macro="">
      <xdr:nvGraphicFramePr>
        <xdr:cNvPr id="13" name="Graf 12">
          <a:extLst>
            <a:ext uri="{FF2B5EF4-FFF2-40B4-BE49-F238E27FC236}">
              <a16:creationId xmlns="" xmlns:a16="http://schemas.microsoft.com/office/drawing/2014/main" id="{F557B32F-C051-4B2E-81AA-BC17E09BA5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13</xdr:row>
      <xdr:rowOff>171450</xdr:rowOff>
    </xdr:from>
    <xdr:to>
      <xdr:col>1</xdr:col>
      <xdr:colOff>0</xdr:colOff>
      <xdr:row>24</xdr:row>
      <xdr:rowOff>123825</xdr:rowOff>
    </xdr:to>
    <xdr:pic>
      <xdr:nvPicPr>
        <xdr:cNvPr id="2" name="Obrázek 1" descr="doporucene-kladeni-potrubiaa.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8100" y="3028950"/>
          <a:ext cx="571500" cy="2047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29</xdr:col>
      <xdr:colOff>9525</xdr:colOff>
      <xdr:row>17</xdr:row>
      <xdr:rowOff>9525</xdr:rowOff>
    </xdr:from>
    <xdr:to>
      <xdr:col>39</xdr:col>
      <xdr:colOff>200025</xdr:colOff>
      <xdr:row>31</xdr:row>
      <xdr:rowOff>85725</xdr:rowOff>
    </xdr:to>
    <xdr:graphicFrame macro="">
      <xdr:nvGraphicFramePr>
        <xdr:cNvPr id="2" name="Graf 1">
          <a:extLst>
            <a:ext uri="{FF2B5EF4-FFF2-40B4-BE49-F238E27FC236}">
              <a16:creationId xmlns=""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180975</xdr:colOff>
      <xdr:row>8</xdr:row>
      <xdr:rowOff>47625</xdr:rowOff>
    </xdr:from>
    <xdr:to>
      <xdr:col>15</xdr:col>
      <xdr:colOff>381000</xdr:colOff>
      <xdr:row>19</xdr:row>
      <xdr:rowOff>104775</xdr:rowOff>
    </xdr:to>
    <xdr:graphicFrame macro="">
      <xdr:nvGraphicFramePr>
        <xdr:cNvPr id="3" name="Graf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171450</xdr:colOff>
      <xdr:row>32</xdr:row>
      <xdr:rowOff>38100</xdr:rowOff>
    </xdr:from>
    <xdr:to>
      <xdr:col>14</xdr:col>
      <xdr:colOff>276225</xdr:colOff>
      <xdr:row>43</xdr:row>
      <xdr:rowOff>171450</xdr:rowOff>
    </xdr:to>
    <xdr:graphicFrame macro="">
      <xdr:nvGraphicFramePr>
        <xdr:cNvPr id="4" name="Graf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38100</xdr:colOff>
      <xdr:row>54</xdr:row>
      <xdr:rowOff>142875</xdr:rowOff>
    </xdr:from>
    <xdr:to>
      <xdr:col>14</xdr:col>
      <xdr:colOff>190500</xdr:colOff>
      <xdr:row>64</xdr:row>
      <xdr:rowOff>95250</xdr:rowOff>
    </xdr:to>
    <xdr:graphicFrame macro="">
      <xdr:nvGraphicFramePr>
        <xdr:cNvPr id="5" name="Graf 4">
          <a:extLst>
            <a:ext uri="{FF2B5EF4-FFF2-40B4-BE49-F238E27FC236}">
              <a16:creationId xmlns=""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152401</xdr:colOff>
      <xdr:row>71</xdr:row>
      <xdr:rowOff>85726</xdr:rowOff>
    </xdr:from>
    <xdr:to>
      <xdr:col>27</xdr:col>
      <xdr:colOff>371475</xdr:colOff>
      <xdr:row>79</xdr:row>
      <xdr:rowOff>133350</xdr:rowOff>
    </xdr:to>
    <xdr:graphicFrame macro="">
      <xdr:nvGraphicFramePr>
        <xdr:cNvPr id="6" name="Graf 5">
          <a:extLst>
            <a:ext uri="{FF2B5EF4-FFF2-40B4-BE49-F238E27FC236}">
              <a16:creationId xmlns=""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180975</xdr:colOff>
      <xdr:row>79</xdr:row>
      <xdr:rowOff>142874</xdr:rowOff>
    </xdr:from>
    <xdr:to>
      <xdr:col>21</xdr:col>
      <xdr:colOff>314326</xdr:colOff>
      <xdr:row>87</xdr:row>
      <xdr:rowOff>9525</xdr:rowOff>
    </xdr:to>
    <xdr:graphicFrame macro="">
      <xdr:nvGraphicFramePr>
        <xdr:cNvPr id="7" name="Graf 6">
          <a:extLst>
            <a:ext uri="{FF2B5EF4-FFF2-40B4-BE49-F238E27FC236}">
              <a16:creationId xmlns=""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66674</xdr:colOff>
      <xdr:row>85</xdr:row>
      <xdr:rowOff>76200</xdr:rowOff>
    </xdr:from>
    <xdr:to>
      <xdr:col>28</xdr:col>
      <xdr:colOff>85725</xdr:colOff>
      <xdr:row>96</xdr:row>
      <xdr:rowOff>28575</xdr:rowOff>
    </xdr:to>
    <xdr:graphicFrame macro="">
      <xdr:nvGraphicFramePr>
        <xdr:cNvPr id="8" name="Graf 7">
          <a:extLst>
            <a:ext uri="{FF2B5EF4-FFF2-40B4-BE49-F238E27FC236}">
              <a16:creationId xmlns=""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257175</xdr:colOff>
      <xdr:row>17</xdr:row>
      <xdr:rowOff>0</xdr:rowOff>
    </xdr:from>
    <xdr:to>
      <xdr:col>14</xdr:col>
      <xdr:colOff>561975</xdr:colOff>
      <xdr:row>31</xdr:row>
      <xdr:rowOff>76200</xdr:rowOff>
    </xdr:to>
    <xdr:graphicFrame macro="">
      <xdr:nvGraphicFramePr>
        <xdr:cNvPr id="2" name="Graf 1">
          <a:extLst>
            <a:ext uri="{FF2B5EF4-FFF2-40B4-BE49-F238E27FC236}">
              <a16:creationId xmlns=""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352425</xdr:colOff>
      <xdr:row>35</xdr:row>
      <xdr:rowOff>95250</xdr:rowOff>
    </xdr:from>
    <xdr:to>
      <xdr:col>16</xdr:col>
      <xdr:colOff>47625</xdr:colOff>
      <xdr:row>49</xdr:row>
      <xdr:rowOff>171450</xdr:rowOff>
    </xdr:to>
    <xdr:graphicFrame macro="">
      <xdr:nvGraphicFramePr>
        <xdr:cNvPr id="3" name="Graf 2">
          <a:extLst>
            <a:ext uri="{FF2B5EF4-FFF2-40B4-BE49-F238E27FC236}">
              <a16:creationId xmlns=""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75</xdr:row>
      <xdr:rowOff>19050</xdr:rowOff>
    </xdr:from>
    <xdr:to>
      <xdr:col>15</xdr:col>
      <xdr:colOff>323850</xdr:colOff>
      <xdr:row>89</xdr:row>
      <xdr:rowOff>95250</xdr:rowOff>
    </xdr:to>
    <xdr:graphicFrame macro="">
      <xdr:nvGraphicFramePr>
        <xdr:cNvPr id="4" name="Graf 3">
          <a:extLst>
            <a:ext uri="{FF2B5EF4-FFF2-40B4-BE49-F238E27FC236}">
              <a16:creationId xmlns=""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85725</xdr:colOff>
      <xdr:row>94</xdr:row>
      <xdr:rowOff>38100</xdr:rowOff>
    </xdr:from>
    <xdr:to>
      <xdr:col>15</xdr:col>
      <xdr:colOff>390525</xdr:colOff>
      <xdr:row>109</xdr:row>
      <xdr:rowOff>114300</xdr:rowOff>
    </xdr:to>
    <xdr:graphicFrame macro="">
      <xdr:nvGraphicFramePr>
        <xdr:cNvPr id="5" name="Graf 4">
          <a:extLst>
            <a:ext uri="{FF2B5EF4-FFF2-40B4-BE49-F238E27FC236}">
              <a16:creationId xmlns=""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190500</xdr:colOff>
      <xdr:row>129</xdr:row>
      <xdr:rowOff>171450</xdr:rowOff>
    </xdr:from>
    <xdr:to>
      <xdr:col>15</xdr:col>
      <xdr:colOff>495300</xdr:colOff>
      <xdr:row>144</xdr:row>
      <xdr:rowOff>57150</xdr:rowOff>
    </xdr:to>
    <xdr:graphicFrame macro="">
      <xdr:nvGraphicFramePr>
        <xdr:cNvPr id="6" name="Graf 5">
          <a:extLst>
            <a:ext uri="{FF2B5EF4-FFF2-40B4-BE49-F238E27FC236}">
              <a16:creationId xmlns=""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28575</xdr:colOff>
      <xdr:row>155</xdr:row>
      <xdr:rowOff>161925</xdr:rowOff>
    </xdr:from>
    <xdr:to>
      <xdr:col>15</xdr:col>
      <xdr:colOff>333375</xdr:colOff>
      <xdr:row>170</xdr:row>
      <xdr:rowOff>47625</xdr:rowOff>
    </xdr:to>
    <xdr:graphicFrame macro="">
      <xdr:nvGraphicFramePr>
        <xdr:cNvPr id="7" name="Graf 6">
          <a:extLst>
            <a:ext uri="{FF2B5EF4-FFF2-40B4-BE49-F238E27FC236}">
              <a16:creationId xmlns=""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33</xdr:col>
      <xdr:colOff>276225</xdr:colOff>
      <xdr:row>79</xdr:row>
      <xdr:rowOff>180975</xdr:rowOff>
    </xdr:from>
    <xdr:to>
      <xdr:col>35</xdr:col>
      <xdr:colOff>161925</xdr:colOff>
      <xdr:row>82</xdr:row>
      <xdr:rowOff>28575</xdr:rowOff>
    </xdr:to>
    <xdr:pic>
      <xdr:nvPicPr>
        <xdr:cNvPr id="9" name="Picture 1" descr="\kappa = \frac{C_p}{C_V} = \frac{c_p}{c_V}">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393025" y="15230475"/>
          <a:ext cx="1104900" cy="419100"/>
        </a:xfrm>
        <a:prstGeom prst="rect">
          <a:avLst/>
        </a:prstGeom>
        <a:noFill/>
      </xdr:spPr>
    </xdr:pic>
    <xdr:clientData/>
  </xdr:twoCellAnchor>
  <xdr:twoCellAnchor editAs="oneCell">
    <xdr:from>
      <xdr:col>36</xdr:col>
      <xdr:colOff>0</xdr:colOff>
      <xdr:row>86</xdr:row>
      <xdr:rowOff>0</xdr:rowOff>
    </xdr:from>
    <xdr:to>
      <xdr:col>37</xdr:col>
      <xdr:colOff>590550</xdr:colOff>
      <xdr:row>87</xdr:row>
      <xdr:rowOff>0</xdr:rowOff>
    </xdr:to>
    <xdr:pic>
      <xdr:nvPicPr>
        <xdr:cNvPr id="10" name="Picture 3" descr=" C_p = C_V + R_m ">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1945600" y="16383000"/>
          <a:ext cx="1200150" cy="190500"/>
        </a:xfrm>
        <a:prstGeom prst="rect">
          <a:avLst/>
        </a:prstGeom>
        <a:noFill/>
      </xdr:spPr>
    </xdr:pic>
    <xdr:clientData/>
  </xdr:twoCellAnchor>
  <xdr:twoCellAnchor editAs="oneCell">
    <xdr:from>
      <xdr:col>36</xdr:col>
      <xdr:colOff>0</xdr:colOff>
      <xdr:row>88</xdr:row>
      <xdr:rowOff>0</xdr:rowOff>
    </xdr:from>
    <xdr:to>
      <xdr:col>36</xdr:col>
      <xdr:colOff>266700</xdr:colOff>
      <xdr:row>88</xdr:row>
      <xdr:rowOff>161925</xdr:rowOff>
    </xdr:to>
    <xdr:pic>
      <xdr:nvPicPr>
        <xdr:cNvPr id="11" name="Picture 4" descr=" R_m ">
          <a:extLst>
            <a:ext uri="{FF2B5EF4-FFF2-40B4-BE49-F238E27FC236}">
              <a16:creationId xmlns=""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945600" y="16764000"/>
          <a:ext cx="266700" cy="161925"/>
        </a:xfrm>
        <a:prstGeom prst="rect">
          <a:avLst/>
        </a:prstGeom>
        <a:noFill/>
      </xdr:spPr>
    </xdr:pic>
    <xdr:clientData/>
  </xdr:twoCellAnchor>
  <xdr:twoCellAnchor editAs="oneCell">
    <xdr:from>
      <xdr:col>36</xdr:col>
      <xdr:colOff>0</xdr:colOff>
      <xdr:row>89</xdr:row>
      <xdr:rowOff>0</xdr:rowOff>
    </xdr:from>
    <xdr:to>
      <xdr:col>36</xdr:col>
      <xdr:colOff>190500</xdr:colOff>
      <xdr:row>90</xdr:row>
      <xdr:rowOff>0</xdr:rowOff>
    </xdr:to>
    <xdr:pic>
      <xdr:nvPicPr>
        <xdr:cNvPr id="12" name="Picture 5" descr=" C_p ">
          <a:extLst>
            <a:ext uri="{FF2B5EF4-FFF2-40B4-BE49-F238E27FC236}">
              <a16:creationId xmlns=""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21945600" y="16954500"/>
          <a:ext cx="190500" cy="190500"/>
        </a:xfrm>
        <a:prstGeom prst="rect">
          <a:avLst/>
        </a:prstGeom>
        <a:noFill/>
      </xdr:spPr>
    </xdr:pic>
    <xdr:clientData/>
  </xdr:twoCellAnchor>
  <xdr:twoCellAnchor editAs="oneCell">
    <xdr:from>
      <xdr:col>36</xdr:col>
      <xdr:colOff>0</xdr:colOff>
      <xdr:row>90</xdr:row>
      <xdr:rowOff>0</xdr:rowOff>
    </xdr:from>
    <xdr:to>
      <xdr:col>36</xdr:col>
      <xdr:colOff>228600</xdr:colOff>
      <xdr:row>90</xdr:row>
      <xdr:rowOff>161925</xdr:rowOff>
    </xdr:to>
    <xdr:pic>
      <xdr:nvPicPr>
        <xdr:cNvPr id="13" name="Picture 6" descr=" C_V ">
          <a:extLst>
            <a:ext uri="{FF2B5EF4-FFF2-40B4-BE49-F238E27FC236}">
              <a16:creationId xmlns=""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21945600" y="17145000"/>
          <a:ext cx="228600" cy="161925"/>
        </a:xfrm>
        <a:prstGeom prst="rect">
          <a:avLst/>
        </a:prstGeom>
        <a:noFill/>
      </xdr:spPr>
    </xdr:pic>
    <xdr:clientData/>
  </xdr:twoCellAnchor>
  <xdr:twoCellAnchor>
    <xdr:from>
      <xdr:col>38</xdr:col>
      <xdr:colOff>485775</xdr:colOff>
      <xdr:row>53</xdr:row>
      <xdr:rowOff>57150</xdr:rowOff>
    </xdr:from>
    <xdr:to>
      <xdr:col>46</xdr:col>
      <xdr:colOff>180975</xdr:colOff>
      <xdr:row>67</xdr:row>
      <xdr:rowOff>133350</xdr:rowOff>
    </xdr:to>
    <xdr:graphicFrame macro="">
      <xdr:nvGraphicFramePr>
        <xdr:cNvPr id="14" name="Graf 13">
          <a:extLst>
            <a:ext uri="{FF2B5EF4-FFF2-40B4-BE49-F238E27FC236}">
              <a16:creationId xmlns=""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56</xdr:col>
      <xdr:colOff>257176</xdr:colOff>
      <xdr:row>76</xdr:row>
      <xdr:rowOff>142875</xdr:rowOff>
    </xdr:from>
    <xdr:to>
      <xdr:col>63</xdr:col>
      <xdr:colOff>114300</xdr:colOff>
      <xdr:row>100</xdr:row>
      <xdr:rowOff>66675</xdr:rowOff>
    </xdr:to>
    <xdr:graphicFrame macro="">
      <xdr:nvGraphicFramePr>
        <xdr:cNvPr id="15" name="Graf 14">
          <a:extLst>
            <a:ext uri="{FF2B5EF4-FFF2-40B4-BE49-F238E27FC236}">
              <a16:creationId xmlns=""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54</xdr:col>
      <xdr:colOff>428625</xdr:colOff>
      <xdr:row>113</xdr:row>
      <xdr:rowOff>133350</xdr:rowOff>
    </xdr:from>
    <xdr:to>
      <xdr:col>63</xdr:col>
      <xdr:colOff>419100</xdr:colOff>
      <xdr:row>135</xdr:row>
      <xdr:rowOff>180975</xdr:rowOff>
    </xdr:to>
    <xdr:graphicFrame macro="">
      <xdr:nvGraphicFramePr>
        <xdr:cNvPr id="16" name="Graf 15">
          <a:extLst>
            <a:ext uri="{FF2B5EF4-FFF2-40B4-BE49-F238E27FC236}">
              <a16:creationId xmlns="" xmlns:a16="http://schemas.microsoft.com/office/drawing/2014/main" id="{00000000-0008-0000-0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95249</xdr:colOff>
      <xdr:row>184</xdr:row>
      <xdr:rowOff>76199</xdr:rowOff>
    </xdr:from>
    <xdr:to>
      <xdr:col>12</xdr:col>
      <xdr:colOff>352424</xdr:colOff>
      <xdr:row>200</xdr:row>
      <xdr:rowOff>95250</xdr:rowOff>
    </xdr:to>
    <xdr:graphicFrame macro="">
      <xdr:nvGraphicFramePr>
        <xdr:cNvPr id="17" name="Graf 16">
          <a:extLst>
            <a:ext uri="{FF2B5EF4-FFF2-40B4-BE49-F238E27FC236}">
              <a16:creationId xmlns="" xmlns:a16="http://schemas.microsoft.com/office/drawing/2014/main" id="{00000000-0008-0000-0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28574</xdr:colOff>
      <xdr:row>18</xdr:row>
      <xdr:rowOff>180975</xdr:rowOff>
    </xdr:from>
    <xdr:to>
      <xdr:col>18</xdr:col>
      <xdr:colOff>361949</xdr:colOff>
      <xdr:row>33</xdr:row>
      <xdr:rowOff>66675</xdr:rowOff>
    </xdr:to>
    <xdr:graphicFrame macro="">
      <xdr:nvGraphicFramePr>
        <xdr:cNvPr id="2" name="Graf 1">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285751</xdr:colOff>
      <xdr:row>19</xdr:row>
      <xdr:rowOff>28575</xdr:rowOff>
    </xdr:from>
    <xdr:to>
      <xdr:col>14</xdr:col>
      <xdr:colOff>571500</xdr:colOff>
      <xdr:row>33</xdr:row>
      <xdr:rowOff>104775</xdr:rowOff>
    </xdr:to>
    <xdr:graphicFrame macro="">
      <xdr:nvGraphicFramePr>
        <xdr:cNvPr id="4" name="Graf 3">
          <a:extLst>
            <a:ext uri="{FF2B5EF4-FFF2-40B4-BE49-F238E27FC236}">
              <a16:creationId xmlns=""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95250</xdr:colOff>
      <xdr:row>44</xdr:row>
      <xdr:rowOff>38100</xdr:rowOff>
    </xdr:from>
    <xdr:to>
      <xdr:col>10</xdr:col>
      <xdr:colOff>723900</xdr:colOff>
      <xdr:row>58</xdr:row>
      <xdr:rowOff>114300</xdr:rowOff>
    </xdr:to>
    <xdr:graphicFrame macro="">
      <xdr:nvGraphicFramePr>
        <xdr:cNvPr id="5" name="Graf 4">
          <a:extLst>
            <a:ext uri="{FF2B5EF4-FFF2-40B4-BE49-F238E27FC236}">
              <a16:creationId xmlns=""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152400</xdr:colOff>
      <xdr:row>10</xdr:row>
      <xdr:rowOff>133350</xdr:rowOff>
    </xdr:from>
    <xdr:to>
      <xdr:col>12</xdr:col>
      <xdr:colOff>590550</xdr:colOff>
      <xdr:row>44</xdr:row>
      <xdr:rowOff>171450</xdr:rowOff>
    </xdr:to>
    <xdr:graphicFrame macro="">
      <xdr:nvGraphicFramePr>
        <xdr:cNvPr id="2" name="Graf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70</xdr:row>
      <xdr:rowOff>0</xdr:rowOff>
    </xdr:from>
    <xdr:to>
      <xdr:col>18</xdr:col>
      <xdr:colOff>371475</xdr:colOff>
      <xdr:row>72</xdr:row>
      <xdr:rowOff>85725</xdr:rowOff>
    </xdr:to>
    <xdr:pic>
      <xdr:nvPicPr>
        <xdr:cNvPr id="3" name="Obrázek 2" descr="003323o8.gif">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315200" y="9525000"/>
          <a:ext cx="4029075" cy="466725"/>
        </a:xfrm>
        <a:prstGeom prst="rect">
          <a:avLst/>
        </a:prstGeom>
      </xdr:spPr>
    </xdr:pic>
    <xdr:clientData/>
  </xdr:twoCellAnchor>
  <xdr:twoCellAnchor>
    <xdr:from>
      <xdr:col>14</xdr:col>
      <xdr:colOff>438150</xdr:colOff>
      <xdr:row>2</xdr:row>
      <xdr:rowOff>142874</xdr:rowOff>
    </xdr:from>
    <xdr:to>
      <xdr:col>24</xdr:col>
      <xdr:colOff>342900</xdr:colOff>
      <xdr:row>19</xdr:row>
      <xdr:rowOff>114299</xdr:rowOff>
    </xdr:to>
    <xdr:graphicFrame macro="">
      <xdr:nvGraphicFramePr>
        <xdr:cNvPr id="4" name="Graf 3">
          <a:extLst>
            <a:ext uri="{FF2B5EF4-FFF2-40B4-BE49-F238E27FC236}">
              <a16:creationId xmlns=""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kondenzace.kvalitne.cz/vypocet-topne-soustavy-radiatoru/" TargetMode="External"/><Relationship Id="rId13" Type="http://schemas.openxmlformats.org/officeDocument/2006/relationships/hyperlink" Target="http://www.druckverlust.de/Online-Rechner/" TargetMode="External"/><Relationship Id="rId3" Type="http://schemas.openxmlformats.org/officeDocument/2006/relationships/hyperlink" Target="http://vytapeni.tzb-info.cz/tabulky-a-vypocty/87-vypocet-tlakove-ztraty-trenim-v-potrubi" TargetMode="External"/><Relationship Id="rId7" Type="http://schemas.openxmlformats.org/officeDocument/2006/relationships/hyperlink" Target="https://www.aaaradiatory.cz/deskovy-radiator-korado-radik-klasik-33-900-1100-max-vykon-3661-w-p11687/" TargetMode="External"/><Relationship Id="rId12" Type="http://schemas.openxmlformats.org/officeDocument/2006/relationships/hyperlink" Target="http://www.pressure-drop.online/" TargetMode="External"/><Relationship Id="rId2" Type="http://schemas.openxmlformats.org/officeDocument/2006/relationships/hyperlink" Target="https://www.korado.cz/common/downloads/8-stupnovy-vlozeny-ventil-pro-deskova-otopna-telesa-v-provedeni-ventil-kompakt.pdf" TargetMode="External"/><Relationship Id="rId1" Type="http://schemas.openxmlformats.org/officeDocument/2006/relationships/hyperlink" Target="https://www.korado.cz/common/downloads/radik-deskova-otopna-telesa-1454416522.pdf" TargetMode="External"/><Relationship Id="rId6" Type="http://schemas.openxmlformats.org/officeDocument/2006/relationships/hyperlink" Target="https://www.aaaradiatory.cz/deskovy-radiator-airfel-klasik-33-900-1200-max-vykon-5006-w-p374/" TargetMode="External"/><Relationship Id="rId11" Type="http://schemas.openxmlformats.org/officeDocument/2006/relationships/hyperlink" Target="https://www.korado.cz/common/downloads/vypocet-tepelnych-vykonu-radik-1622096352.xlsm" TargetMode="External"/><Relationship Id="rId5" Type="http://schemas.openxmlformats.org/officeDocument/2006/relationships/hyperlink" Target="mailto:josvav@volny.cz" TargetMode="External"/><Relationship Id="rId10" Type="http://schemas.openxmlformats.org/officeDocument/2006/relationships/hyperlink" Target="http://kondenzace.kvalitne.cz/kks/navrh-radiatoru-a-stoupacek.xlsx" TargetMode="External"/><Relationship Id="rId4" Type="http://schemas.openxmlformats.org/officeDocument/2006/relationships/hyperlink" Target="http://kondenzace.kvalitne.cz/" TargetMode="External"/><Relationship Id="rId9" Type="http://schemas.openxmlformats.org/officeDocument/2006/relationships/hyperlink" Target="http://kondenzace.kvalitne.cz/kks/navrh-radiatoru-a-stoupacek-vzor.xlsx"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qpro.cz/Vlastnosti-vlhkeho-vzduchu" TargetMode="External"/><Relationship Id="rId2" Type="http://schemas.openxmlformats.org/officeDocument/2006/relationships/hyperlink" Target="https://www.tzb-info.cz/tabulky-a-vypocty/9-vlastnosti-syte-vodni-pary-pri-danem-tlaku" TargetMode="External"/><Relationship Id="rId1" Type="http://schemas.openxmlformats.org/officeDocument/2006/relationships/hyperlink" Target="https://vetrani.tzb-info.cz/teorie-a-vypocty-vetrani-klimatizace/3323-teorie-vlhkeho-vzduchu-i"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hyperlink" Target="http://kondenzace.kvalitne.cz/kks/tlakoveztratyr999.xlsx" TargetMode="External"/><Relationship Id="rId2" Type="http://schemas.openxmlformats.org/officeDocument/2006/relationships/hyperlink" Target="https://www.koupelny-venta.cz/37129,giacomini-r999i-trubka-pex-al-pex-pro-vytapeni-a-rozvody-sanity-v-izolaci.html" TargetMode="External"/><Relationship Id="rId1" Type="http://schemas.openxmlformats.org/officeDocument/2006/relationships/hyperlink" Target="https://i.koupelny-venta.cz/datafm/13318"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hyperlink" Target="https://homecomfort-techlit.resideo.com/emeadocuments/ge25/v200n-v200s-pd-en0h125ge25r0520.pdf" TargetMode="External"/><Relationship Id="rId7" Type="http://schemas.openxmlformats.org/officeDocument/2006/relationships/drawing" Target="../drawings/drawing11.xml"/><Relationship Id="rId2" Type="http://schemas.openxmlformats.org/officeDocument/2006/relationships/hyperlink" Target="http://kabinet.fyzika.net/studium/tabulky/tepelna-kapacita-roztaznost.php" TargetMode="External"/><Relationship Id="rId1" Type="http://schemas.openxmlformats.org/officeDocument/2006/relationships/hyperlink" Target="http://hydraulika.fsv.cvut.cz/Hydraulika/Hydraulika/Predmety/HY2V/ke_stazeni/prednasky/HY2V_01_Fyzikalni_vlastnosti.pdf" TargetMode="External"/><Relationship Id="rId6" Type="http://schemas.openxmlformats.org/officeDocument/2006/relationships/hyperlink" Target="https://docplayer.cz/storage/37/17634868/1646039615/Bw-iv952DbQngiof8nY-xg/17634868.pdf" TargetMode="External"/><Relationship Id="rId5" Type="http://schemas.openxmlformats.org/officeDocument/2006/relationships/hyperlink" Target="https://forum.tzb-info.cz/151532-kondenzacni-kotel-therm-24-kdzn5?p=568144" TargetMode="External"/><Relationship Id="rId4" Type="http://schemas.openxmlformats.org/officeDocument/2006/relationships/hyperlink" Target="http://www.armatmetal.cz/ke-stazeni/?dokumentyControl1-id=11&amp;do=dokumentyControl1-download"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hyperlink" Target="http://www.analyzavody.cz/vlastnosti-vody/konduktivita/" TargetMode="External"/><Relationship Id="rId2" Type="http://schemas.openxmlformats.org/officeDocument/2006/relationships/hyperlink" Target="https://cs.wikipedia.org/wiki/Salinita" TargetMode="External"/><Relationship Id="rId1" Type="http://schemas.openxmlformats.org/officeDocument/2006/relationships/hyperlink" Target="http://www.zshk.cz/safra/SBIRKA_PRIKLADU/Konduktometrie.htm" TargetMode="External"/><Relationship Id="rId5" Type="http://schemas.openxmlformats.org/officeDocument/2006/relationships/drawing" Target="../drawings/drawing13.xml"/><Relationship Id="rId4" Type="http://schemas.openxmlformats.org/officeDocument/2006/relationships/hyperlink" Target="http://uiozp.ft.utb.cz/studmat/2013820142334/T7TV072012.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tzb-info.cz/tabulky-a-vypocty/14-porovnani-svetlosti-dn-mm-a-svetlosti-v-palcich"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kondenzace.kvalitne.cz/kks/navrh-radiatoru-a-stoupacek-vzor.xlsx" TargetMode="External"/><Relationship Id="rId2" Type="http://schemas.openxmlformats.org/officeDocument/2006/relationships/hyperlink" Target="http://kondenzace.kvalitne.cz/vypocet-topne-soustavy-radiatoru/" TargetMode="External"/><Relationship Id="rId1" Type="http://schemas.openxmlformats.org/officeDocument/2006/relationships/hyperlink" Target="http://vytapeni.tzb-info.cz/tabulky-a-vypocty/87-vypocet-tlakove-ztraty-trenim-v-potrubi" TargetMode="Externa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qpro.cz/Ztraty-trenim-ve-vzduchotechnickem-potrub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vytapeni.tzb-info.cz/tabulky-a-vypocty/44-tepelna-ztrata-potrubi-s-izolaci-kruhoveho-prurezu" TargetMode="External"/><Relationship Id="rId2" Type="http://schemas.openxmlformats.org/officeDocument/2006/relationships/hyperlink" Target="https://vytapeni.tzb-info.cz/tabulky-a-vypocty/48-prutokovy-soucinitel-kv-a-graf-tlakovych-ztrat" TargetMode="External"/><Relationship Id="rId1" Type="http://schemas.openxmlformats.org/officeDocument/2006/relationships/hyperlink" Target="https://vytapeni.tzb-info.cz/tabulky-a-vypocty/87-vypocet-tlakove-ztraty-trenim-v-potrubi" TargetMode="External"/><Relationship Id="rId4" Type="http://schemas.openxmlformats.org/officeDocument/2006/relationships/hyperlink" Target="https://vytapeni.tzb-info.cz/tabulky-a-vypocty/42-prepocet-tepelnych-vykonu-otopnych-tele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josvav@volny.cz" TargetMode="External"/><Relationship Id="rId7" Type="http://schemas.openxmlformats.org/officeDocument/2006/relationships/printerSettings" Target="../printerSettings/printerSettings1.bin"/><Relationship Id="rId2" Type="http://schemas.openxmlformats.org/officeDocument/2006/relationships/hyperlink" Target="http://kondenzace.kvalitne.cz/vypocet-topne-soustavy-radiatoru/" TargetMode="External"/><Relationship Id="rId1" Type="http://schemas.openxmlformats.org/officeDocument/2006/relationships/hyperlink" Target="mailto:josvav@volny.cz" TargetMode="External"/><Relationship Id="rId6" Type="http://schemas.openxmlformats.org/officeDocument/2006/relationships/hyperlink" Target="http://kondenzace.kvalitne.cz/kks/navrh-radiatoru-a-stoupacek.xlsx" TargetMode="External"/><Relationship Id="rId5" Type="http://schemas.openxmlformats.org/officeDocument/2006/relationships/hyperlink" Target="https://www.setrice.eu/fotky47249/fotov/_ps_999Katalogovy-list-honeywell-FY30.pdf" TargetMode="External"/><Relationship Id="rId4" Type="http://schemas.openxmlformats.org/officeDocument/2006/relationships/hyperlink" Target="https://vytapeni.tzb-info.cz/tabulky-a-vypocty/42-prepocet-tepelnych-vykonu-otopnych-tel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kondenzace.kvalitne.cz/kks/navrh-radiatoru-a-stoupacek.xlsx"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koupelny-venta.cz/datafm/13318" TargetMode="External"/><Relationship Id="rId13" Type="http://schemas.openxmlformats.org/officeDocument/2006/relationships/hyperlink" Target="https://forum.tzb-info.cz/149128-nedostatecny-prutok-podlahovymi-okruhy/vsechny-prispevky" TargetMode="External"/><Relationship Id="rId3" Type="http://schemas.openxmlformats.org/officeDocument/2006/relationships/hyperlink" Target="https://vytapeni.tzb-info.cz/podlahove-vytapeni/3449-podlahove-vytapeni-iii" TargetMode="External"/><Relationship Id="rId7" Type="http://schemas.openxmlformats.org/officeDocument/2006/relationships/hyperlink" Target="https://i.koupelny-venta.cz/datafm/13318" TargetMode="External"/><Relationship Id="rId12" Type="http://schemas.openxmlformats.org/officeDocument/2006/relationships/hyperlink" Target="http://kondenzace.kvalitne.cz/kks/navrh-radiatoru-a-stoupacek.xlsx" TargetMode="External"/><Relationship Id="rId2" Type="http://schemas.openxmlformats.org/officeDocument/2006/relationships/hyperlink" Target="http://kondenzace.kvalitne.cz/kks/navrh-radiatoru-a-stoupacek-vzor.xlsx" TargetMode="External"/><Relationship Id="rId16" Type="http://schemas.openxmlformats.org/officeDocument/2006/relationships/drawing" Target="../drawings/drawing4.xml"/><Relationship Id="rId1" Type="http://schemas.openxmlformats.org/officeDocument/2006/relationships/hyperlink" Target="https://forum.tzb-info.cz/144929-experimentalni-podlahove-topeni-prevratne-reseni/vsechny-prispevky" TargetMode="External"/><Relationship Id="rId6" Type="http://schemas.openxmlformats.org/officeDocument/2006/relationships/hyperlink" Target="https://i.koupelny-venta.cz/datafm/13319" TargetMode="External"/><Relationship Id="rId11" Type="http://schemas.openxmlformats.org/officeDocument/2006/relationships/hyperlink" Target="https://i.koupelny-venta.cz/datafm/13318" TargetMode="External"/><Relationship Id="rId5" Type="http://schemas.openxmlformats.org/officeDocument/2006/relationships/hyperlink" Target="https://i.koupelny-venta.cz/obrazky/r999i-trubka-pex-al-pex-pro-vytapeni-a-rozvody-sanity-v-izolaci-135265.jpg" TargetMode="External"/><Relationship Id="rId15" Type="http://schemas.openxmlformats.org/officeDocument/2006/relationships/hyperlink" Target="http://kondenzace.kvalitne.cz/kks/navrh-radiatoru-a-stoupacek.xlsx" TargetMode="External"/><Relationship Id="rId10" Type="http://schemas.openxmlformats.org/officeDocument/2006/relationships/hyperlink" Target="https://vytapeni.tzb-info.cz/tabulky-a-vypocty/87-vypocet-tlakove-ztraty-trenim-v-potrubi" TargetMode="External"/><Relationship Id="rId4" Type="http://schemas.openxmlformats.org/officeDocument/2006/relationships/hyperlink" Target="http://forum.tzb-info.cz/140830-podlahovka-versus-radiatory/vsechny-prispevky" TargetMode="External"/><Relationship Id="rId9" Type="http://schemas.openxmlformats.org/officeDocument/2006/relationships/hyperlink" Target="https://vytapeni.tzb-info.cz/tabulky-a-vypocty/87-vypocet-tlakove-ztraty-trenim-v-potrubi" TargetMode="External"/><Relationship Id="rId14" Type="http://schemas.openxmlformats.org/officeDocument/2006/relationships/hyperlink" Target="https://forum.tzb-info.cz/149171-jak-nenasekat-kila-pascall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kondenzace.kvalitne.cz/kks/navrh-radiatoru-a-stoupacek-vzor.xlsx"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kondenzace.kvalitne.cz/kks/tlakoveztratyr999.xlsx" TargetMode="External"/><Relationship Id="rId2" Type="http://schemas.openxmlformats.org/officeDocument/2006/relationships/hyperlink" Target="https://www.koupelny-venta.cz/37129,giacomini-r999i-trubka-pex-al-pex-pro-vytapeni-a-rozvody-sanity-v-izolaci.html" TargetMode="External"/><Relationship Id="rId1" Type="http://schemas.openxmlformats.org/officeDocument/2006/relationships/hyperlink" Target="https://i.koupelny-venta.cz/datafm/13318" TargetMode="External"/><Relationship Id="rId6" Type="http://schemas.openxmlformats.org/officeDocument/2006/relationships/drawing" Target="../drawings/drawing6.xml"/><Relationship Id="rId5" Type="http://schemas.openxmlformats.org/officeDocument/2006/relationships/hyperlink" Target="http://kondenzace.kvalitne.cz/kks/navrh-radiatoru-a-stoupacek-vzor.xlsx" TargetMode="External"/><Relationship Id="rId4" Type="http://schemas.openxmlformats.org/officeDocument/2006/relationships/hyperlink" Target="https://forum.tzb-info.cz/147121-poradit-s-kotel-viessman"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vscht.cz/fch/prikladnik/prikladnik/p.3.4.html" TargetMode="External"/><Relationship Id="rId3" Type="http://schemas.openxmlformats.org/officeDocument/2006/relationships/hyperlink" Target="http://fyzikalniulohy.cz/uloha.php?uloha=434" TargetMode="External"/><Relationship Id="rId7" Type="http://schemas.openxmlformats.org/officeDocument/2006/relationships/hyperlink" Target="http://cs.wikipedia.org/wiki/Maxwellovy_relace" TargetMode="External"/><Relationship Id="rId12" Type="http://schemas.openxmlformats.org/officeDocument/2006/relationships/drawing" Target="../drawings/drawing7.xml"/><Relationship Id="rId2" Type="http://schemas.openxmlformats.org/officeDocument/2006/relationships/hyperlink" Target="http://www.mmspektrum.com/clanek/porovnani-plynu-pro-rezani-plamenem.html" TargetMode="External"/><Relationship Id="rId1" Type="http://schemas.openxmlformats.org/officeDocument/2006/relationships/hyperlink" Target="http://cs.wikipedia.org/wiki/Spaln%C3%A9_teplo" TargetMode="External"/><Relationship Id="rId6" Type="http://schemas.openxmlformats.org/officeDocument/2006/relationships/hyperlink" Target="http://cs.wikipedia.org/wiki/Mol%C3%A1rn%C3%AD_plynov%C3%A1_konstanta" TargetMode="External"/><Relationship Id="rId11" Type="http://schemas.openxmlformats.org/officeDocument/2006/relationships/printerSettings" Target="../printerSettings/printerSettings3.bin"/><Relationship Id="rId5" Type="http://schemas.openxmlformats.org/officeDocument/2006/relationships/hyperlink" Target="http://fyzikalniulohy.cz/uloha.php?uloha=336" TargetMode="External"/><Relationship Id="rId10" Type="http://schemas.openxmlformats.org/officeDocument/2006/relationships/hyperlink" Target="http://kondenzace.kvalitne.cz/kks/navrh-radiatoru-a-stoupacek-vzor.xlsx" TargetMode="External"/><Relationship Id="rId4" Type="http://schemas.openxmlformats.org/officeDocument/2006/relationships/hyperlink" Target="http://fyzikalniulohy.cz/uloha.php?uloha=337" TargetMode="External"/><Relationship Id="rId9" Type="http://schemas.openxmlformats.org/officeDocument/2006/relationships/hyperlink" Target="http://web.vscht.cz/~mistovae/en_tabulky.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armat.cz/pdf/specifikace-nerezovych-oceli-chemicke-slozeni.pdf" TargetMode="External"/><Relationship Id="rId7" Type="http://schemas.openxmlformats.org/officeDocument/2006/relationships/drawing" Target="../drawings/drawing8.xml"/><Relationship Id="rId2" Type="http://schemas.openxmlformats.org/officeDocument/2006/relationships/hyperlink" Target="https://www.bazenonline.cz/assets/eshop/products/7/3862/files/navod-na-deskove-vymeniky-obvd.pdf" TargetMode="External"/><Relationship Id="rId1" Type="http://schemas.openxmlformats.org/officeDocument/2006/relationships/hyperlink" Target="https://www.bazenonline.cz/deskovy-vymenik-secespol-ovbd-33-33kw" TargetMode="External"/><Relationship Id="rId6" Type="http://schemas.openxmlformats.org/officeDocument/2006/relationships/hyperlink" Target="https://www.reflex-winkelmann.com/reflexhex/?lang=cz" TargetMode="External"/><Relationship Id="rId5" Type="http://schemas.openxmlformats.org/officeDocument/2006/relationships/hyperlink" Target="https://dspace.cvut.cz/bitstream/handle/10467/84878/F2-DP-2019-Mala-Ruzena-Mala_Ruzena_Akcelerovane%20zihani%20tenkostennych%20nerezovych%20profilu.pdf" TargetMode="External"/><Relationship Id="rId4" Type="http://schemas.openxmlformats.org/officeDocument/2006/relationships/hyperlink" Target="https://cz.rs-online.com/web/p/trubky-z-nerezove-oceli/6614891/" TargetMode="External"/></Relationships>
</file>

<file path=xl/worksheets/sheet1.xml><?xml version="1.0" encoding="utf-8"?>
<worksheet xmlns="http://schemas.openxmlformats.org/spreadsheetml/2006/main" xmlns:r="http://schemas.openxmlformats.org/officeDocument/2006/relationships">
  <dimension ref="A1:IX1001"/>
  <sheetViews>
    <sheetView zoomScale="80" zoomScaleNormal="80" workbookViewId="0">
      <selection activeCell="AG9" sqref="AG9:AJ12"/>
    </sheetView>
  </sheetViews>
  <sheetFormatPr defaultRowHeight="13.5" customHeight="1"/>
  <cols>
    <col min="1" max="1" width="4" style="1" customWidth="1"/>
    <col min="2" max="2" width="6.42578125" style="1" customWidth="1"/>
    <col min="3" max="3" width="7.140625" style="1" customWidth="1"/>
    <col min="4" max="12" width="5.140625" style="1" customWidth="1"/>
    <col min="13" max="13" width="7.140625" style="1" customWidth="1"/>
    <col min="14" max="14" width="6" style="1" customWidth="1"/>
    <col min="15" max="17" width="5.140625" style="1" customWidth="1"/>
    <col min="18" max="18" width="6.42578125" style="1" customWidth="1"/>
    <col min="19" max="22" width="5.140625" style="1" customWidth="1"/>
    <col min="23" max="23" width="6.7109375" style="1" customWidth="1"/>
    <col min="24" max="24" width="6.85546875" style="1" customWidth="1"/>
    <col min="25" max="26" width="5.140625" style="1" customWidth="1"/>
    <col min="27" max="27" width="6.28515625" style="1" customWidth="1"/>
    <col min="28" max="28" width="7.28515625" style="1" customWidth="1"/>
    <col min="29" max="29" width="6.7109375" style="1" customWidth="1"/>
    <col min="30" max="30" width="6.5703125" style="1" customWidth="1"/>
    <col min="31" max="31" width="6.140625" style="1" customWidth="1"/>
    <col min="32" max="35" width="7.28515625" style="1" customWidth="1"/>
    <col min="36" max="41" width="7" style="1" customWidth="1"/>
    <col min="42" max="42" width="18.140625" style="1" customWidth="1"/>
    <col min="43" max="81" width="7" style="1" customWidth="1"/>
    <col min="82" max="16384" width="9.140625" style="1"/>
  </cols>
  <sheetData>
    <row r="1" spans="1:84" ht="13.5" customHeight="1">
      <c r="B1" s="1" t="s">
        <v>62</v>
      </c>
      <c r="W1" s="1" t="s">
        <v>63</v>
      </c>
      <c r="AE1" s="67" t="s">
        <v>321</v>
      </c>
      <c r="AG1" s="2" t="s">
        <v>115</v>
      </c>
      <c r="AH1" s="2"/>
      <c r="AK1" s="2" t="s">
        <v>61</v>
      </c>
      <c r="AQ1" s="2" t="s">
        <v>174</v>
      </c>
      <c r="AR1" s="2"/>
      <c r="AS1" s="2"/>
      <c r="AT1" s="2"/>
      <c r="AU1" s="2"/>
      <c r="AZ1" s="158"/>
      <c r="BA1" s="137" t="s">
        <v>141</v>
      </c>
      <c r="BB1" s="137"/>
      <c r="BC1" s="137"/>
      <c r="BD1" s="137"/>
      <c r="BE1" s="137"/>
      <c r="BF1" s="174" t="s">
        <v>144</v>
      </c>
      <c r="BG1" s="137"/>
      <c r="BH1" s="137"/>
      <c r="BI1" s="137"/>
      <c r="BJ1" s="137"/>
      <c r="BK1" s="137"/>
      <c r="BL1" s="137"/>
      <c r="BM1" s="137"/>
      <c r="BN1" s="137"/>
      <c r="BO1" s="137"/>
      <c r="BP1" s="137"/>
      <c r="BQ1" s="137"/>
      <c r="BR1" s="137"/>
      <c r="BS1" s="137"/>
      <c r="BT1" s="137"/>
      <c r="BU1" s="137"/>
      <c r="BV1" s="137"/>
      <c r="BW1" s="137"/>
      <c r="BX1" s="137"/>
      <c r="BY1" s="137"/>
      <c r="BZ1" s="137"/>
      <c r="CA1" s="138"/>
      <c r="CC1" s="1" t="s">
        <v>146</v>
      </c>
      <c r="CD1" s="2"/>
    </row>
    <row r="2" spans="1:84" ht="13.5" customHeight="1">
      <c r="C2" s="1" t="s">
        <v>158</v>
      </c>
      <c r="X2" s="1" t="s">
        <v>111</v>
      </c>
      <c r="AE2" s="1">
        <f>R36</f>
        <v>75</v>
      </c>
      <c r="AG2" s="2" t="s">
        <v>171</v>
      </c>
      <c r="AK2" s="1" t="s">
        <v>59</v>
      </c>
      <c r="AL2" s="1" t="s">
        <v>60</v>
      </c>
      <c r="AM2" s="1" t="s">
        <v>2</v>
      </c>
      <c r="AQ2" s="2"/>
      <c r="AR2" s="2"/>
      <c r="AS2" s="2"/>
      <c r="AT2" s="2" t="s">
        <v>116</v>
      </c>
      <c r="AU2" s="2"/>
      <c r="AZ2" s="139"/>
      <c r="BA2" s="176" t="s">
        <v>139</v>
      </c>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40"/>
      <c r="CC2" s="1" t="s">
        <v>147</v>
      </c>
      <c r="CD2" s="2"/>
    </row>
    <row r="3" spans="1:84" ht="13.5" customHeight="1" thickBot="1">
      <c r="D3" s="1" t="s">
        <v>98</v>
      </c>
      <c r="Y3" s="1" t="s">
        <v>112</v>
      </c>
      <c r="AE3" s="66">
        <f>R37</f>
        <v>65.930214358359962</v>
      </c>
      <c r="AG3" s="1" t="s">
        <v>172</v>
      </c>
      <c r="AH3" s="8" t="s">
        <v>2</v>
      </c>
      <c r="AI3" s="9" t="s">
        <v>1</v>
      </c>
      <c r="AK3" s="3">
        <f>M39/1000</f>
        <v>12.326325065110266</v>
      </c>
      <c r="AL3" s="3">
        <f>R36-R37</f>
        <v>9.0697856416400384</v>
      </c>
      <c r="AM3" s="2">
        <f>AK3/AL3/4.2*3600</f>
        <v>1164.9031081697915</v>
      </c>
      <c r="AT3" s="1" t="s">
        <v>156</v>
      </c>
      <c r="AZ3" s="139"/>
      <c r="BA3" s="175" t="s">
        <v>142</v>
      </c>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40"/>
      <c r="CD3" s="4" t="s">
        <v>22</v>
      </c>
      <c r="CE3" s="4" t="s">
        <v>21</v>
      </c>
      <c r="CF3" s="5" t="s">
        <v>20</v>
      </c>
    </row>
    <row r="4" spans="1:84" ht="13.5" customHeight="1">
      <c r="E4" s="1" t="s">
        <v>97</v>
      </c>
      <c r="Z4" s="1" t="s">
        <v>308</v>
      </c>
      <c r="AE4" s="66">
        <f>M37</f>
        <v>18.995209816619742</v>
      </c>
      <c r="AG4" s="1">
        <f>AH4/1000/SQRT(AI4/100)</f>
        <v>1</v>
      </c>
      <c r="AH4" s="3">
        <v>1000</v>
      </c>
      <c r="AI4" s="3">
        <v>100</v>
      </c>
      <c r="AN4" s="1" t="s">
        <v>267</v>
      </c>
      <c r="AQ4" s="1" t="s">
        <v>157</v>
      </c>
      <c r="AZ4" s="139"/>
      <c r="BA4" s="176" t="s">
        <v>173</v>
      </c>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40"/>
      <c r="CD4" s="4" t="s">
        <v>6</v>
      </c>
      <c r="CE4" s="6" t="s">
        <v>5</v>
      </c>
      <c r="CF4" s="7" t="s">
        <v>5</v>
      </c>
    </row>
    <row r="5" spans="1:84" ht="13.5" customHeight="1" thickBot="1">
      <c r="F5" s="1" t="s">
        <v>96</v>
      </c>
      <c r="AA5" s="1" t="s">
        <v>113</v>
      </c>
      <c r="AE5" s="1">
        <f>G36</f>
        <v>9997.65437307313</v>
      </c>
      <c r="AG5" s="2" t="s">
        <v>263</v>
      </c>
      <c r="AJ5" s="2"/>
      <c r="AM5" s="28" t="s">
        <v>55</v>
      </c>
      <c r="AN5" s="28" t="s">
        <v>18</v>
      </c>
      <c r="AO5" s="28" t="s">
        <v>53</v>
      </c>
      <c r="AZ5" s="139"/>
      <c r="BA5" s="4" t="s">
        <v>22</v>
      </c>
      <c r="BB5" s="4" t="s">
        <v>21</v>
      </c>
      <c r="BC5" s="5" t="s">
        <v>20</v>
      </c>
      <c r="BD5" s="18"/>
      <c r="BE5" s="18"/>
      <c r="BF5" s="18"/>
      <c r="BG5" s="18"/>
      <c r="BH5" s="18"/>
      <c r="BI5" s="18"/>
      <c r="BJ5" s="4" t="s">
        <v>22</v>
      </c>
      <c r="BK5" s="4" t="s">
        <v>21</v>
      </c>
      <c r="BL5" s="5" t="s">
        <v>20</v>
      </c>
      <c r="BM5" s="18"/>
      <c r="BN5" s="18"/>
      <c r="BO5" s="4" t="s">
        <v>22</v>
      </c>
      <c r="BP5" s="4" t="s">
        <v>21</v>
      </c>
      <c r="BQ5" s="5" t="s">
        <v>20</v>
      </c>
      <c r="BR5" s="18"/>
      <c r="BS5" s="18"/>
      <c r="BT5" s="18"/>
      <c r="BU5" s="18"/>
      <c r="BV5" s="18"/>
      <c r="BW5" s="18"/>
      <c r="BX5" s="18"/>
      <c r="BY5" s="18"/>
      <c r="BZ5" s="18"/>
      <c r="CA5" s="140"/>
      <c r="CB5" s="1">
        <v>1</v>
      </c>
      <c r="CD5" s="8" t="s">
        <v>2</v>
      </c>
      <c r="CE5" s="9" t="s">
        <v>1</v>
      </c>
      <c r="CF5" s="10" t="s">
        <v>145</v>
      </c>
    </row>
    <row r="6" spans="1:84" ht="13.5" customHeight="1">
      <c r="G6" s="1" t="s">
        <v>58</v>
      </c>
      <c r="AB6" s="1" t="s">
        <v>307</v>
      </c>
      <c r="AE6" s="1">
        <f>M39</f>
        <v>12326.325065110266</v>
      </c>
      <c r="AG6" s="145" t="s">
        <v>176</v>
      </c>
      <c r="AH6" s="145" t="s">
        <v>177</v>
      </c>
      <c r="AI6" s="145" t="s">
        <v>178</v>
      </c>
      <c r="AM6" s="28" t="s">
        <v>15</v>
      </c>
      <c r="AN6" s="28" t="s">
        <v>4</v>
      </c>
      <c r="AO6" s="28" t="s">
        <v>370</v>
      </c>
      <c r="AR6" s="158"/>
      <c r="AS6" s="174" t="s">
        <v>64</v>
      </c>
      <c r="AT6" s="137"/>
      <c r="AU6" s="137"/>
      <c r="AV6" s="137"/>
      <c r="AW6" s="137"/>
      <c r="AX6" s="138"/>
      <c r="AZ6" s="139"/>
      <c r="BA6" s="4" t="s">
        <v>6</v>
      </c>
      <c r="BB6" s="6" t="s">
        <v>5</v>
      </c>
      <c r="BC6" s="7" t="s">
        <v>5</v>
      </c>
      <c r="BD6" s="18"/>
      <c r="BE6" s="18"/>
      <c r="BF6" s="134">
        <v>6.4</v>
      </c>
      <c r="BG6" s="18"/>
      <c r="BH6" s="18"/>
      <c r="BI6" s="18"/>
      <c r="BJ6" s="4" t="s">
        <v>6</v>
      </c>
      <c r="BK6" s="6" t="s">
        <v>5</v>
      </c>
      <c r="BL6" s="7" t="s">
        <v>5</v>
      </c>
      <c r="BM6" s="18"/>
      <c r="BN6" s="18"/>
      <c r="BO6" s="4" t="s">
        <v>6</v>
      </c>
      <c r="BP6" s="6" t="s">
        <v>5</v>
      </c>
      <c r="BQ6" s="7" t="s">
        <v>5</v>
      </c>
      <c r="BR6" s="18"/>
      <c r="BS6" s="18"/>
      <c r="BT6" s="18"/>
      <c r="BU6" s="18"/>
      <c r="BV6" s="18"/>
      <c r="BW6" s="18"/>
      <c r="BX6" s="18"/>
      <c r="BY6" s="18"/>
      <c r="BZ6" s="18"/>
      <c r="CA6" s="140"/>
      <c r="CB6" s="1">
        <v>350</v>
      </c>
      <c r="CC6" s="1">
        <v>1</v>
      </c>
      <c r="CD6" s="1">
        <f t="shared" ref="CD6:CD14" si="0">CB6*CB$5</f>
        <v>350</v>
      </c>
      <c r="CE6" s="1">
        <v>400</v>
      </c>
      <c r="CF6" s="2">
        <f t="shared" ref="CF6:CF14" si="1">IF(LOG10(CE6/CD6/CD6)&lt;-3.003,3+(-3.003-LOG10(CE6/CD6/CD6))*$BF$6,3+(-3.003-LOG10(CE6/CD6/CD6))*$BF$7)</f>
        <v>1.6043054629059894</v>
      </c>
    </row>
    <row r="7" spans="1:84" ht="13.5" customHeight="1" thickBot="1">
      <c r="H7" s="1" t="s">
        <v>95</v>
      </c>
      <c r="AC7" s="1" t="s">
        <v>309</v>
      </c>
      <c r="AE7" s="1">
        <f>X36</f>
        <v>1164.9031081697915</v>
      </c>
      <c r="AG7" s="70">
        <v>4</v>
      </c>
      <c r="AH7" s="70">
        <v>3</v>
      </c>
      <c r="AI7" s="61">
        <f>4*AG7*AH7/1000</f>
        <v>4.8000000000000001E-2</v>
      </c>
      <c r="AM7" s="56">
        <v>1.57</v>
      </c>
      <c r="AN7" s="56">
        <v>15</v>
      </c>
      <c r="AO7" s="28">
        <f>$BE$32/AN7^$BE$33*AM7^$BE$34</f>
        <v>1934.0352787069396</v>
      </c>
      <c r="AP7" s="1" t="s">
        <v>1370</v>
      </c>
      <c r="AR7" s="139"/>
      <c r="AS7" s="18" t="s">
        <v>117</v>
      </c>
      <c r="AT7" s="18"/>
      <c r="AU7" s="18"/>
      <c r="AV7" s="18"/>
      <c r="AW7" s="18" t="s">
        <v>125</v>
      </c>
      <c r="AX7" s="140"/>
      <c r="AZ7" s="139"/>
      <c r="BA7" s="8" t="s">
        <v>2</v>
      </c>
      <c r="BB7" s="9" t="s">
        <v>1</v>
      </c>
      <c r="BC7" s="10" t="s">
        <v>145</v>
      </c>
      <c r="BD7" s="18"/>
      <c r="BE7" s="18"/>
      <c r="BF7" s="135">
        <v>2.7</v>
      </c>
      <c r="BG7" s="18"/>
      <c r="BH7" s="18"/>
      <c r="BI7" s="18"/>
      <c r="BJ7" s="8" t="s">
        <v>2</v>
      </c>
      <c r="BK7" s="9" t="s">
        <v>1</v>
      </c>
      <c r="BL7" s="10" t="s">
        <v>145</v>
      </c>
      <c r="BM7" s="18"/>
      <c r="BN7" s="18"/>
      <c r="BO7" s="8" t="s">
        <v>2</v>
      </c>
      <c r="BP7" s="9" t="s">
        <v>1</v>
      </c>
      <c r="BQ7" s="10" t="s">
        <v>145</v>
      </c>
      <c r="BR7" s="18"/>
      <c r="BS7" s="18"/>
      <c r="BT7" s="18"/>
      <c r="BU7" s="18"/>
      <c r="BV7" s="18"/>
      <c r="BW7" s="18"/>
      <c r="BX7" s="18"/>
      <c r="BY7" s="18"/>
      <c r="BZ7" s="18"/>
      <c r="CA7" s="140"/>
      <c r="CB7" s="1">
        <v>550</v>
      </c>
      <c r="CC7" s="1">
        <v>2</v>
      </c>
      <c r="CD7" s="1">
        <f t="shared" si="0"/>
        <v>550</v>
      </c>
      <c r="CE7" s="1">
        <f>CE6</f>
        <v>400</v>
      </c>
      <c r="CF7" s="2">
        <f t="shared" si="1"/>
        <v>2.6642965466834179</v>
      </c>
    </row>
    <row r="8" spans="1:84" ht="13.5" customHeight="1">
      <c r="I8" s="1" t="s">
        <v>94</v>
      </c>
      <c r="AE8" s="1" t="s">
        <v>244</v>
      </c>
      <c r="AM8" s="56">
        <v>1.57</v>
      </c>
      <c r="AN8" s="56">
        <v>15</v>
      </c>
      <c r="AO8" s="28">
        <f t="shared" ref="AO8:AO12" si="2">$BE$32/AN8^$BE$33*AM8^$BE$34</f>
        <v>1934.0352787069396</v>
      </c>
      <c r="AP8" s="1" t="s">
        <v>1371</v>
      </c>
      <c r="AR8" s="139"/>
      <c r="AS8" s="18" t="s">
        <v>19</v>
      </c>
      <c r="AT8" s="18" t="s">
        <v>19</v>
      </c>
      <c r="AU8" s="18" t="s">
        <v>366</v>
      </c>
      <c r="AV8" s="18" t="s">
        <v>118</v>
      </c>
      <c r="AW8" s="18" t="s">
        <v>367</v>
      </c>
      <c r="AX8" s="140" t="s">
        <v>368</v>
      </c>
      <c r="AY8" s="1" t="s">
        <v>369</v>
      </c>
      <c r="AZ8" s="139">
        <v>1</v>
      </c>
      <c r="BA8" s="18">
        <v>22.5</v>
      </c>
      <c r="BB8" s="18">
        <v>3</v>
      </c>
      <c r="BC8" s="175">
        <f t="shared" ref="BC8:BC16" si="3">IF(LOG10(BB8/BA8/BA8)&lt;-3.003,3+(-3.003-LOG10(BB8/BA8/BA8))*$BF$6,3+(-3.003-LOG10(BB8/BA8/BA8))*$BF$7)</f>
        <v>0.90545821005826799</v>
      </c>
      <c r="BD8" s="18">
        <f t="shared" ref="BD8:BD15" si="4">BQ8</f>
        <v>0.90093282628657079</v>
      </c>
      <c r="BE8" s="18">
        <f>BL8</f>
        <v>0.900467695339918</v>
      </c>
      <c r="BF8" s="18">
        <f t="shared" ref="BF8:BH15" si="5">BC8-$AZ8</f>
        <v>-9.4541789941732013E-2</v>
      </c>
      <c r="BG8" s="18">
        <f t="shared" si="5"/>
        <v>-9.9067173713429213E-2</v>
      </c>
      <c r="BH8" s="18">
        <f t="shared" si="5"/>
        <v>-9.9532304660082005E-2</v>
      </c>
      <c r="BI8" s="18">
        <v>1</v>
      </c>
      <c r="BJ8" s="18">
        <v>71</v>
      </c>
      <c r="BK8" s="18">
        <v>30</v>
      </c>
      <c r="BL8" s="175">
        <f t="shared" ref="BL8:BL15" si="6">IF(LOG10(BK8/BJ8/BJ8)&lt;-3.003,3+(-3.003-LOG10(BK8/BJ8/BJ8))*$BF$6,3+(-3.003-LOG10(BK8/BJ8/BJ8))*$BF$7)</f>
        <v>0.900467695339918</v>
      </c>
      <c r="BM8" s="18"/>
      <c r="BN8" s="18">
        <v>1</v>
      </c>
      <c r="BO8" s="18">
        <v>4.0999999999999996</v>
      </c>
      <c r="BP8" s="18">
        <v>0.1</v>
      </c>
      <c r="BQ8" s="175">
        <f t="shared" ref="BQ8:BQ15" si="7">IF(LOG10(BP8/BO8/BO8)&lt;-3.003,3+(-3.003-LOG10(BP8/BO8/BO8))*$BF$6,3+(-3.003-LOG10(BP8/BO8/BO8))*$BF$7)</f>
        <v>0.90093282628657079</v>
      </c>
      <c r="BR8" s="18"/>
      <c r="BS8" s="18"/>
      <c r="BT8" s="18"/>
      <c r="BU8" s="18"/>
      <c r="BV8" s="18"/>
      <c r="BW8" s="18"/>
      <c r="BX8" s="18"/>
      <c r="BY8" s="18"/>
      <c r="BZ8" s="18"/>
      <c r="CA8" s="140"/>
      <c r="CB8" s="1">
        <v>700</v>
      </c>
      <c r="CC8" s="1">
        <v>3</v>
      </c>
      <c r="CD8" s="1">
        <f t="shared" si="0"/>
        <v>700</v>
      </c>
      <c r="CE8" s="1">
        <f t="shared" ref="CE8:CE14" si="8">CE7</f>
        <v>400</v>
      </c>
      <c r="CF8" s="2">
        <f t="shared" si="1"/>
        <v>3.5448709676835279</v>
      </c>
    </row>
    <row r="9" spans="1:84" ht="13.5" customHeight="1">
      <c r="J9" s="1" t="s">
        <v>99</v>
      </c>
      <c r="AE9" s="65">
        <f t="shared" ref="AE9:AE18" si="9">AB26*1000/B26</f>
        <v>0.67897419779773593</v>
      </c>
      <c r="AG9" s="1" t="s">
        <v>1027</v>
      </c>
      <c r="AH9" s="1" t="s">
        <v>1025</v>
      </c>
      <c r="AI9" s="1" t="s">
        <v>1026</v>
      </c>
      <c r="AM9" s="56">
        <v>1.57</v>
      </c>
      <c r="AN9" s="56">
        <v>15</v>
      </c>
      <c r="AO9" s="28">
        <f t="shared" si="2"/>
        <v>1934.0352787069396</v>
      </c>
      <c r="AR9" s="139">
        <f>AV9/AU9</f>
        <v>1.0234192037470726</v>
      </c>
      <c r="AS9" s="18">
        <v>90</v>
      </c>
      <c r="AT9" s="18">
        <v>70</v>
      </c>
      <c r="AU9" s="18">
        <v>1281</v>
      </c>
      <c r="AV9" s="18">
        <v>1311</v>
      </c>
      <c r="AW9" s="18">
        <f>(AS9+AT9-40)/100*1000</f>
        <v>1200</v>
      </c>
      <c r="AX9" s="140">
        <f>(AS9-20)/55*1000</f>
        <v>1272.7272727272727</v>
      </c>
      <c r="AZ9" s="139">
        <v>2</v>
      </c>
      <c r="BA9" s="18">
        <v>34</v>
      </c>
      <c r="BB9" s="18">
        <v>3</v>
      </c>
      <c r="BC9" s="175">
        <f t="shared" si="3"/>
        <v>1.8736587642850884</v>
      </c>
      <c r="BD9" s="18">
        <f t="shared" si="4"/>
        <v>2.155429416076986</v>
      </c>
      <c r="BE9" s="18">
        <f t="shared" ref="BE9:BE15" si="10">BL9</f>
        <v>2.1312513409140852</v>
      </c>
      <c r="BF9" s="18">
        <f t="shared" si="5"/>
        <v>-0.12634123571491163</v>
      </c>
      <c r="BG9" s="18">
        <f t="shared" si="5"/>
        <v>0.15542941607698602</v>
      </c>
      <c r="BH9" s="18">
        <f t="shared" si="5"/>
        <v>0.13125134091408519</v>
      </c>
      <c r="BI9" s="18">
        <v>2</v>
      </c>
      <c r="BJ9" s="18">
        <v>120</v>
      </c>
      <c r="BK9" s="18">
        <v>30</v>
      </c>
      <c r="BL9" s="175">
        <f t="shared" si="6"/>
        <v>2.1312513409140852</v>
      </c>
      <c r="BM9" s="18"/>
      <c r="BN9" s="18">
        <v>2</v>
      </c>
      <c r="BO9" s="18">
        <v>7</v>
      </c>
      <c r="BP9" s="18">
        <v>0.1</v>
      </c>
      <c r="BQ9" s="175">
        <f t="shared" si="7"/>
        <v>2.155429416076986</v>
      </c>
      <c r="BR9" s="18"/>
      <c r="BS9" s="18"/>
      <c r="BT9" s="18"/>
      <c r="BU9" s="18"/>
      <c r="BV9" s="18"/>
      <c r="BW9" s="18"/>
      <c r="BX9" s="18"/>
      <c r="BY9" s="18"/>
      <c r="BZ9" s="18"/>
      <c r="CA9" s="140"/>
      <c r="CB9" s="1">
        <v>850</v>
      </c>
      <c r="CC9" s="1">
        <v>4</v>
      </c>
      <c r="CD9" s="1">
        <f t="shared" si="0"/>
        <v>850</v>
      </c>
      <c r="CE9" s="1">
        <f t="shared" si="8"/>
        <v>400</v>
      </c>
      <c r="CF9" s="2">
        <f t="shared" si="1"/>
        <v>4.6241783046439879</v>
      </c>
    </row>
    <row r="10" spans="1:84" ht="13.5" customHeight="1">
      <c r="K10" s="1" t="s">
        <v>100</v>
      </c>
      <c r="AE10" s="65">
        <f t="shared" si="9"/>
        <v>0.46014744614747599</v>
      </c>
      <c r="AG10" s="1">
        <v>1000</v>
      </c>
      <c r="AH10" s="3">
        <v>1.57</v>
      </c>
      <c r="AI10" s="1">
        <f>AH12*AH10*AH10*AG10/2</f>
        <v>1232.45</v>
      </c>
      <c r="AM10" s="56">
        <v>0.3</v>
      </c>
      <c r="AN10" s="56">
        <v>16</v>
      </c>
      <c r="AO10" s="28">
        <f t="shared" si="2"/>
        <v>86.19924164192129</v>
      </c>
      <c r="AR10" s="139">
        <f>AV10/AU10</f>
        <v>0.991044776119403</v>
      </c>
      <c r="AS10" s="18">
        <v>75</v>
      </c>
      <c r="AT10" s="18">
        <v>65</v>
      </c>
      <c r="AU10" s="18">
        <v>1005</v>
      </c>
      <c r="AV10" s="18">
        <v>996</v>
      </c>
      <c r="AW10" s="18">
        <f>(AS10+AT10-40)/100*1000</f>
        <v>1000</v>
      </c>
      <c r="AX10" s="140">
        <f>(AS10-20)/55*1000</f>
        <v>1000</v>
      </c>
      <c r="AZ10" s="139">
        <v>3</v>
      </c>
      <c r="BA10" s="18">
        <v>55</v>
      </c>
      <c r="BB10" s="18">
        <v>3</v>
      </c>
      <c r="BC10" s="175">
        <f t="shared" si="3"/>
        <v>3.0038663953204803</v>
      </c>
      <c r="BD10" s="18">
        <f t="shared" si="4"/>
        <v>2.9918999999999998</v>
      </c>
      <c r="BE10" s="18">
        <f t="shared" si="10"/>
        <v>2.9480967876995896</v>
      </c>
      <c r="BF10" s="18">
        <f t="shared" si="5"/>
        <v>3.8663953204802759E-3</v>
      </c>
      <c r="BG10" s="18">
        <f t="shared" si="5"/>
        <v>-8.1000000000002181E-3</v>
      </c>
      <c r="BH10" s="18">
        <f t="shared" si="5"/>
        <v>-5.1903212300410395E-2</v>
      </c>
      <c r="BI10" s="18">
        <v>3</v>
      </c>
      <c r="BJ10" s="18">
        <v>170</v>
      </c>
      <c r="BK10" s="18">
        <v>30</v>
      </c>
      <c r="BL10" s="175">
        <f t="shared" si="6"/>
        <v>2.9480967876995896</v>
      </c>
      <c r="BM10" s="18"/>
      <c r="BN10" s="18">
        <v>3</v>
      </c>
      <c r="BO10" s="18">
        <v>10</v>
      </c>
      <c r="BP10" s="18">
        <v>0.1</v>
      </c>
      <c r="BQ10" s="175">
        <f t="shared" si="7"/>
        <v>2.9918999999999998</v>
      </c>
      <c r="BR10" s="18"/>
      <c r="BS10" s="18"/>
      <c r="BT10" s="18"/>
      <c r="BU10" s="18"/>
      <c r="BV10" s="18"/>
      <c r="BW10" s="18"/>
      <c r="BX10" s="18"/>
      <c r="BY10" s="18"/>
      <c r="BZ10" s="18"/>
      <c r="CA10" s="140"/>
      <c r="CB10" s="1">
        <v>1050</v>
      </c>
      <c r="CC10" s="1">
        <v>5</v>
      </c>
      <c r="CD10" s="1">
        <f t="shared" si="0"/>
        <v>1050</v>
      </c>
      <c r="CE10" s="1">
        <f t="shared" si="8"/>
        <v>400</v>
      </c>
      <c r="CF10" s="2">
        <f t="shared" si="1"/>
        <v>5.7988390835962464</v>
      </c>
    </row>
    <row r="11" spans="1:84" ht="13.5" customHeight="1">
      <c r="L11" s="1" t="s">
        <v>175</v>
      </c>
      <c r="AE11" s="65">
        <f t="shared" si="9"/>
        <v>0.37979329202665996</v>
      </c>
      <c r="AH11" s="1" t="s">
        <v>1277</v>
      </c>
      <c r="AM11" s="56">
        <v>0.3</v>
      </c>
      <c r="AN11" s="56">
        <v>16</v>
      </c>
      <c r="AO11" s="28">
        <f t="shared" si="2"/>
        <v>86.19924164192129</v>
      </c>
      <c r="AR11" s="139">
        <f>AV11/AU11</f>
        <v>1.0123456790123457</v>
      </c>
      <c r="AS11" s="18">
        <v>70</v>
      </c>
      <c r="AT11" s="18">
        <v>55</v>
      </c>
      <c r="AU11" s="18">
        <v>810</v>
      </c>
      <c r="AV11" s="18">
        <v>820</v>
      </c>
      <c r="AW11" s="18">
        <f>(AS11+AT11-40)/100*1000</f>
        <v>850</v>
      </c>
      <c r="AX11" s="140">
        <f>(AS11-20)/55*1000</f>
        <v>909.09090909090901</v>
      </c>
      <c r="AZ11" s="139">
        <v>4</v>
      </c>
      <c r="BA11" s="18">
        <v>65</v>
      </c>
      <c r="BB11" s="18">
        <v>3</v>
      </c>
      <c r="BC11" s="175">
        <f t="shared" si="3"/>
        <v>3.9325149348227115</v>
      </c>
      <c r="BD11" s="18">
        <f t="shared" si="4"/>
        <v>3.994319949409598</v>
      </c>
      <c r="BE11" s="18">
        <f t="shared" si="10"/>
        <v>4.0516309423883259</v>
      </c>
      <c r="BF11" s="18">
        <f t="shared" si="5"/>
        <v>-6.7485065177288472E-2</v>
      </c>
      <c r="BG11" s="18">
        <f t="shared" si="5"/>
        <v>-5.6800505904019971E-3</v>
      </c>
      <c r="BH11" s="18">
        <f t="shared" si="5"/>
        <v>5.1630942388325884E-2</v>
      </c>
      <c r="BI11" s="18">
        <v>4</v>
      </c>
      <c r="BJ11" s="18">
        <v>210</v>
      </c>
      <c r="BK11" s="18">
        <v>30</v>
      </c>
      <c r="BL11" s="175">
        <f t="shared" si="6"/>
        <v>4.0516309423883259</v>
      </c>
      <c r="BM11" s="18"/>
      <c r="BN11" s="18">
        <v>4</v>
      </c>
      <c r="BO11" s="18">
        <v>12</v>
      </c>
      <c r="BP11" s="18">
        <v>0.1</v>
      </c>
      <c r="BQ11" s="175">
        <f t="shared" si="7"/>
        <v>3.994319949409598</v>
      </c>
      <c r="BR11" s="18"/>
      <c r="BS11" s="18"/>
      <c r="BT11" s="18"/>
      <c r="BU11" s="18"/>
      <c r="BV11" s="18"/>
      <c r="BW11" s="18"/>
      <c r="BX11" s="18"/>
      <c r="BY11" s="18"/>
      <c r="BZ11" s="18"/>
      <c r="CA11" s="140"/>
      <c r="CB11" s="1">
        <v>1210</v>
      </c>
      <c r="CC11" s="1">
        <v>6</v>
      </c>
      <c r="CD11" s="1">
        <f t="shared" si="0"/>
        <v>1210</v>
      </c>
      <c r="CE11" s="1">
        <f t="shared" si="8"/>
        <v>400</v>
      </c>
      <c r="CF11" s="2">
        <f t="shared" si="1"/>
        <v>6.5872687955515996</v>
      </c>
    </row>
    <row r="12" spans="1:84" ht="13.5" customHeight="1">
      <c r="M12" s="1" t="s">
        <v>101</v>
      </c>
      <c r="AE12" s="65">
        <f t="shared" si="9"/>
        <v>0.33294875628119347</v>
      </c>
      <c r="AH12" s="3">
        <v>1</v>
      </c>
      <c r="AM12" s="56">
        <v>0.3</v>
      </c>
      <c r="AN12" s="56">
        <v>16</v>
      </c>
      <c r="AO12" s="28">
        <f t="shared" si="2"/>
        <v>86.19924164192129</v>
      </c>
      <c r="AP12" s="2"/>
      <c r="AR12" s="139">
        <f>AV12/AU12</f>
        <v>1.0235294117647058</v>
      </c>
      <c r="AS12" s="18">
        <v>55</v>
      </c>
      <c r="AT12" s="18">
        <v>45</v>
      </c>
      <c r="AU12" s="18">
        <v>510</v>
      </c>
      <c r="AV12" s="18">
        <v>522</v>
      </c>
      <c r="AW12" s="18">
        <f>(AS12+AT12-40)/100*1000</f>
        <v>600</v>
      </c>
      <c r="AX12" s="140">
        <f>(AS12-20)/55*1000</f>
        <v>636.36363636363637</v>
      </c>
      <c r="AZ12" s="139">
        <v>5</v>
      </c>
      <c r="BA12" s="18">
        <v>80</v>
      </c>
      <c r="BB12" s="18">
        <v>3</v>
      </c>
      <c r="BC12" s="175">
        <f t="shared" si="3"/>
        <v>5.0867758032910384</v>
      </c>
      <c r="BD12" s="18">
        <f t="shared" si="4"/>
        <v>5.2347681159127184</v>
      </c>
      <c r="BE12" s="18">
        <f t="shared" si="10"/>
        <v>5.1309382793487863</v>
      </c>
      <c r="BF12" s="18">
        <f t="shared" si="5"/>
        <v>8.67758032910384E-2</v>
      </c>
      <c r="BG12" s="18">
        <f t="shared" si="5"/>
        <v>0.2347681159127184</v>
      </c>
      <c r="BH12" s="18">
        <f t="shared" si="5"/>
        <v>0.13093827934878632</v>
      </c>
      <c r="BI12" s="18">
        <v>5</v>
      </c>
      <c r="BJ12" s="18">
        <v>255</v>
      </c>
      <c r="BK12" s="18">
        <v>30</v>
      </c>
      <c r="BL12" s="175">
        <f t="shared" si="6"/>
        <v>5.1309382793487863</v>
      </c>
      <c r="BM12" s="18"/>
      <c r="BN12" s="18">
        <v>5</v>
      </c>
      <c r="BO12" s="18">
        <v>15</v>
      </c>
      <c r="BP12" s="18">
        <v>0.1</v>
      </c>
      <c r="BQ12" s="175">
        <f t="shared" si="7"/>
        <v>5.2347681159127184</v>
      </c>
      <c r="BR12" s="18"/>
      <c r="BS12" s="18"/>
      <c r="BT12" s="18"/>
      <c r="BU12" s="18"/>
      <c r="BV12" s="18"/>
      <c r="BW12" s="18"/>
      <c r="BX12" s="18"/>
      <c r="BY12" s="18"/>
      <c r="BZ12" s="18"/>
      <c r="CA12" s="140"/>
      <c r="CB12" s="1">
        <v>1390</v>
      </c>
      <c r="CC12" s="1">
        <v>7</v>
      </c>
      <c r="CD12" s="1">
        <f t="shared" si="0"/>
        <v>1390</v>
      </c>
      <c r="CE12" s="1">
        <f t="shared" si="8"/>
        <v>400</v>
      </c>
      <c r="CF12" s="2">
        <f t="shared" si="1"/>
        <v>7.358205498753458</v>
      </c>
    </row>
    <row r="13" spans="1:84" ht="13.5" customHeight="1">
      <c r="A13" s="48" t="s">
        <v>1239</v>
      </c>
      <c r="B13" s="297"/>
      <c r="N13" s="1" t="s">
        <v>102</v>
      </c>
      <c r="AE13" s="65">
        <f t="shared" si="9"/>
        <v>0.30071127761540628</v>
      </c>
      <c r="AL13" s="48" t="s">
        <v>1368</v>
      </c>
      <c r="AR13" s="139"/>
      <c r="AS13" s="18">
        <v>0.38</v>
      </c>
      <c r="AT13" s="18"/>
      <c r="AU13" s="18">
        <f>AU10/AU9</f>
        <v>0.78454332552693207</v>
      </c>
      <c r="AV13" s="18">
        <f>AV10/AV9</f>
        <v>0.7597254004576659</v>
      </c>
      <c r="AW13" s="18">
        <f>AW10/AW9</f>
        <v>0.83333333333333337</v>
      </c>
      <c r="AX13" s="140">
        <f>AX10/AX9</f>
        <v>0.7857142857142857</v>
      </c>
      <c r="AZ13" s="139">
        <v>6</v>
      </c>
      <c r="BA13" s="18">
        <v>100</v>
      </c>
      <c r="BB13" s="18">
        <v>3</v>
      </c>
      <c r="BC13" s="175">
        <f t="shared" si="3"/>
        <v>6.3272239697941588</v>
      </c>
      <c r="BD13" s="18">
        <f t="shared" si="4"/>
        <v>6.248288065322317</v>
      </c>
      <c r="BE13" s="18">
        <f t="shared" si="10"/>
        <v>6.2166536508728516</v>
      </c>
      <c r="BF13" s="18">
        <f t="shared" si="5"/>
        <v>0.3272239697941588</v>
      </c>
      <c r="BG13" s="18">
        <f t="shared" si="5"/>
        <v>0.24828806532231695</v>
      </c>
      <c r="BH13" s="18">
        <f t="shared" si="5"/>
        <v>0.2166536508728516</v>
      </c>
      <c r="BI13" s="18">
        <v>6</v>
      </c>
      <c r="BJ13" s="18">
        <v>310</v>
      </c>
      <c r="BK13" s="18">
        <v>30</v>
      </c>
      <c r="BL13" s="175">
        <f t="shared" si="6"/>
        <v>6.2166536508728516</v>
      </c>
      <c r="BM13" s="18"/>
      <c r="BN13" s="18">
        <v>6</v>
      </c>
      <c r="BO13" s="18">
        <v>18</v>
      </c>
      <c r="BP13" s="18">
        <v>0.1</v>
      </c>
      <c r="BQ13" s="175">
        <f t="shared" si="7"/>
        <v>6.248288065322317</v>
      </c>
      <c r="BR13" s="18"/>
      <c r="BS13" s="18"/>
      <c r="BT13" s="18"/>
      <c r="BU13" s="18"/>
      <c r="BV13" s="18"/>
      <c r="BW13" s="18"/>
      <c r="BX13" s="18"/>
      <c r="BY13" s="18"/>
      <c r="BZ13" s="18"/>
      <c r="CA13" s="140"/>
      <c r="CB13" s="1">
        <v>1550</v>
      </c>
      <c r="CC13" s="1">
        <v>8</v>
      </c>
      <c r="CD13" s="1">
        <f t="shared" si="0"/>
        <v>1550</v>
      </c>
      <c r="CE13" s="1">
        <f t="shared" si="8"/>
        <v>400</v>
      </c>
      <c r="CF13" s="2">
        <f t="shared" si="1"/>
        <v>7.9638617920807722</v>
      </c>
    </row>
    <row r="14" spans="1:84" ht="13.5" customHeight="1">
      <c r="A14" s="48" t="s">
        <v>562</v>
      </c>
      <c r="O14" s="1" t="s">
        <v>103</v>
      </c>
      <c r="AE14" s="65">
        <f t="shared" si="9"/>
        <v>0.27651720797339169</v>
      </c>
      <c r="AL14" s="48" t="s">
        <v>1369</v>
      </c>
      <c r="AR14" s="139"/>
      <c r="AS14" s="18"/>
      <c r="AT14" s="18"/>
      <c r="AU14" s="18"/>
      <c r="AV14" s="18"/>
      <c r="AW14" s="18"/>
      <c r="AX14" s="140"/>
      <c r="AZ14" s="139">
        <v>7</v>
      </c>
      <c r="BA14" s="18">
        <v>115</v>
      </c>
      <c r="BB14" s="18">
        <v>3</v>
      </c>
      <c r="BC14" s="175">
        <f t="shared" si="3"/>
        <v>7.10415632632039</v>
      </c>
      <c r="BD14" s="18">
        <f t="shared" si="4"/>
        <v>7.1052069725941669</v>
      </c>
      <c r="BE14" s="18">
        <f t="shared" si="10"/>
        <v>7.0478959796154355</v>
      </c>
      <c r="BF14" s="18">
        <f t="shared" si="5"/>
        <v>0.10415632632038996</v>
      </c>
      <c r="BG14" s="18">
        <f t="shared" si="5"/>
        <v>0.10520697259416689</v>
      </c>
      <c r="BH14" s="18">
        <f t="shared" si="5"/>
        <v>4.7895979615435458E-2</v>
      </c>
      <c r="BI14" s="18">
        <v>7</v>
      </c>
      <c r="BJ14" s="18">
        <v>360</v>
      </c>
      <c r="BK14" s="18">
        <v>30</v>
      </c>
      <c r="BL14" s="175">
        <f t="shared" si="6"/>
        <v>7.0478959796154355</v>
      </c>
      <c r="BM14" s="18"/>
      <c r="BN14" s="18">
        <v>7</v>
      </c>
      <c r="BO14" s="18">
        <v>21</v>
      </c>
      <c r="BP14" s="18">
        <v>0.1</v>
      </c>
      <c r="BQ14" s="175">
        <f t="shared" si="7"/>
        <v>7.1052069725941669</v>
      </c>
      <c r="BR14" s="18"/>
      <c r="BS14" s="18"/>
      <c r="BT14" s="18"/>
      <c r="BU14" s="18"/>
      <c r="BV14" s="18"/>
      <c r="BW14" s="18"/>
      <c r="BX14" s="18"/>
      <c r="BY14" s="18"/>
      <c r="BZ14" s="18"/>
      <c r="CA14" s="140"/>
      <c r="CB14" s="2">
        <v>1900</v>
      </c>
      <c r="CC14" s="1">
        <v>9</v>
      </c>
      <c r="CD14" s="1">
        <f t="shared" si="0"/>
        <v>1900</v>
      </c>
      <c r="CE14" s="1">
        <f t="shared" si="8"/>
        <v>400</v>
      </c>
      <c r="CF14" s="2">
        <f t="shared" si="1"/>
        <v>9.0956621476972508</v>
      </c>
    </row>
    <row r="15" spans="1:84" ht="13.5" customHeight="1">
      <c r="A15" s="192" t="s">
        <v>182</v>
      </c>
      <c r="B15" s="191"/>
      <c r="C15" s="191"/>
      <c r="D15" s="191"/>
      <c r="E15" s="191"/>
      <c r="F15" s="191"/>
      <c r="G15" s="191"/>
      <c r="H15" s="190"/>
      <c r="J15" s="1" t="s">
        <v>185</v>
      </c>
      <c r="P15" s="1" t="s">
        <v>104</v>
      </c>
      <c r="AE15" s="65">
        <f t="shared" si="9"/>
        <v>0.25736362170150373</v>
      </c>
      <c r="AK15" s="2"/>
      <c r="AR15" s="139"/>
      <c r="AS15" s="18"/>
      <c r="AT15" s="18"/>
      <c r="AU15" s="18"/>
      <c r="AV15" s="18"/>
      <c r="AW15" s="18"/>
      <c r="AX15" s="140"/>
      <c r="AZ15" s="139">
        <v>8</v>
      </c>
      <c r="BA15" s="18">
        <v>130</v>
      </c>
      <c r="BB15" s="18">
        <v>3</v>
      </c>
      <c r="BC15" s="175">
        <f t="shared" si="3"/>
        <v>7.7856988793216688</v>
      </c>
      <c r="BD15" s="18">
        <f t="shared" si="4"/>
        <v>7.8475038939085557</v>
      </c>
      <c r="BE15" s="18">
        <f t="shared" si="10"/>
        <v>7.7708573358067756</v>
      </c>
      <c r="BF15" s="18">
        <f t="shared" si="5"/>
        <v>-0.21430112067833118</v>
      </c>
      <c r="BG15" s="18">
        <f t="shared" si="5"/>
        <v>-0.15249610609144426</v>
      </c>
      <c r="BH15" s="18">
        <f t="shared" si="5"/>
        <v>-0.22914266419322438</v>
      </c>
      <c r="BI15" s="18">
        <v>8</v>
      </c>
      <c r="BJ15" s="18">
        <v>410</v>
      </c>
      <c r="BK15" s="18">
        <v>30</v>
      </c>
      <c r="BL15" s="175">
        <f t="shared" si="6"/>
        <v>7.7708573358067756</v>
      </c>
      <c r="BM15" s="18"/>
      <c r="BN15" s="18">
        <v>8</v>
      </c>
      <c r="BO15" s="18">
        <v>24</v>
      </c>
      <c r="BP15" s="18">
        <v>0.1</v>
      </c>
      <c r="BQ15" s="175">
        <f t="shared" si="7"/>
        <v>7.8475038939085557</v>
      </c>
      <c r="BR15" s="18"/>
      <c r="BS15" s="18"/>
      <c r="BT15" s="18"/>
      <c r="BU15" s="18"/>
      <c r="BV15" s="18"/>
      <c r="BW15" s="18"/>
      <c r="BX15" s="18"/>
      <c r="BY15" s="18"/>
      <c r="BZ15" s="18"/>
      <c r="CA15" s="140"/>
    </row>
    <row r="16" spans="1:84" ht="13.5" customHeight="1">
      <c r="A16" s="191" t="s">
        <v>378</v>
      </c>
      <c r="B16" s="191"/>
      <c r="C16" s="191"/>
      <c r="D16" s="191"/>
      <c r="E16" s="191"/>
      <c r="F16" s="191"/>
      <c r="G16" s="191"/>
      <c r="H16" s="190"/>
      <c r="J16" s="1" t="s">
        <v>80</v>
      </c>
      <c r="L16" s="1">
        <v>20</v>
      </c>
      <c r="N16" s="1">
        <v>25</v>
      </c>
      <c r="Q16" s="1" t="s">
        <v>105</v>
      </c>
      <c r="AE16" s="65">
        <f t="shared" si="9"/>
        <v>0.24164085711599656</v>
      </c>
      <c r="AO16" s="1">
        <f>1/1.2</f>
        <v>0.83333333333333337</v>
      </c>
      <c r="AR16" s="139"/>
      <c r="AS16" s="18"/>
      <c r="AT16" s="18"/>
      <c r="AU16" s="18"/>
      <c r="AV16" s="18"/>
      <c r="AW16" s="18"/>
      <c r="AX16" s="140"/>
      <c r="AZ16" s="139"/>
      <c r="BA16" s="18">
        <v>55</v>
      </c>
      <c r="BB16" s="18">
        <v>6.5</v>
      </c>
      <c r="BC16" s="175">
        <f t="shared" si="3"/>
        <v>2.0949924603332062</v>
      </c>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40"/>
    </row>
    <row r="17" spans="1:86" ht="13.5" customHeight="1" thickBot="1">
      <c r="A17" s="191" t="s">
        <v>379</v>
      </c>
      <c r="B17" s="191"/>
      <c r="C17" s="191"/>
      <c r="E17" s="192" t="s">
        <v>183</v>
      </c>
      <c r="F17" s="191"/>
      <c r="G17" s="191"/>
      <c r="H17" s="191"/>
      <c r="K17" s="1">
        <f>20-2*3.4</f>
        <v>13.2</v>
      </c>
      <c r="L17" s="1">
        <f>20-2*2.8</f>
        <v>14.4</v>
      </c>
      <c r="M17" s="1">
        <f>25-2*4.2</f>
        <v>16.600000000000001</v>
      </c>
      <c r="N17" s="1">
        <f>25-2*3.5</f>
        <v>18</v>
      </c>
      <c r="R17" s="1" t="s">
        <v>106</v>
      </c>
      <c r="AE17" s="65">
        <f t="shared" si="9"/>
        <v>0.22839151592549575</v>
      </c>
      <c r="AR17" s="139"/>
      <c r="AS17" s="18"/>
      <c r="AT17" s="18"/>
      <c r="AU17" s="18"/>
      <c r="AV17" s="18"/>
      <c r="AW17" s="18"/>
      <c r="AX17" s="140"/>
      <c r="AZ17" s="139" t="s">
        <v>138</v>
      </c>
      <c r="BA17" s="18"/>
      <c r="BB17" s="18"/>
      <c r="BC17" s="18"/>
      <c r="BD17" s="18"/>
      <c r="BE17" s="18"/>
      <c r="BF17" s="18"/>
      <c r="BG17" s="18"/>
      <c r="BH17" s="18"/>
      <c r="BI17" s="18"/>
      <c r="BJ17" s="18"/>
      <c r="BK17" s="18"/>
      <c r="BL17" s="18"/>
      <c r="BM17" s="18"/>
      <c r="BN17" s="18"/>
      <c r="BO17" s="4" t="s">
        <v>22</v>
      </c>
      <c r="BP17" s="4" t="s">
        <v>21</v>
      </c>
      <c r="BQ17" s="5" t="s">
        <v>20</v>
      </c>
      <c r="BR17" s="18"/>
      <c r="BS17" s="18"/>
      <c r="BT17" s="18"/>
      <c r="BU17" s="18"/>
      <c r="BV17" s="18"/>
      <c r="BW17" s="18"/>
      <c r="BX17" s="18"/>
      <c r="BY17" s="18"/>
      <c r="BZ17" s="18"/>
      <c r="CA17" s="140"/>
    </row>
    <row r="18" spans="1:86" ht="13.5" customHeight="1">
      <c r="B18" s="3">
        <v>0.38</v>
      </c>
      <c r="C18" s="1" t="s">
        <v>310</v>
      </c>
      <c r="J18" s="11" t="s">
        <v>81</v>
      </c>
      <c r="K18" s="12" t="s">
        <v>82</v>
      </c>
      <c r="L18" s="12" t="s">
        <v>83</v>
      </c>
      <c r="M18" s="12" t="s">
        <v>84</v>
      </c>
      <c r="N18" s="12" t="s">
        <v>85</v>
      </c>
      <c r="O18" s="12" t="s">
        <v>86</v>
      </c>
      <c r="P18" s="12" t="s">
        <v>87</v>
      </c>
      <c r="Q18" s="12" t="s">
        <v>88</v>
      </c>
      <c r="S18" s="1" t="s">
        <v>107</v>
      </c>
      <c r="Y18" s="136" t="s">
        <v>304</v>
      </c>
      <c r="Z18" s="137"/>
      <c r="AA18" s="137"/>
      <c r="AB18" s="136"/>
      <c r="AC18" s="137"/>
      <c r="AD18" s="137"/>
      <c r="AE18" s="65">
        <f t="shared" si="9"/>
        <v>0.21700251143077734</v>
      </c>
      <c r="AK18" s="2"/>
      <c r="AL18" s="2" t="s">
        <v>1013</v>
      </c>
      <c r="AM18" s="2"/>
      <c r="AR18" s="139"/>
      <c r="AS18" s="18"/>
      <c r="AT18" s="18"/>
      <c r="AU18" s="18"/>
      <c r="AV18" s="18"/>
      <c r="AW18" s="18"/>
      <c r="AX18" s="140"/>
      <c r="AZ18" s="139" t="s">
        <v>137</v>
      </c>
      <c r="BA18" s="18"/>
      <c r="BB18" s="18"/>
      <c r="BC18" s="18"/>
      <c r="BD18" s="18"/>
      <c r="BE18" s="18" t="s">
        <v>143</v>
      </c>
      <c r="BF18" s="18"/>
      <c r="BG18" s="18"/>
      <c r="BH18" s="18"/>
      <c r="BI18" s="18"/>
      <c r="BJ18" s="18"/>
      <c r="BK18" s="18"/>
      <c r="BL18" s="18"/>
      <c r="BM18" s="18"/>
      <c r="BN18" s="18"/>
      <c r="BO18" s="4" t="s">
        <v>6</v>
      </c>
      <c r="BP18" s="6" t="s">
        <v>5</v>
      </c>
      <c r="BQ18" s="7" t="s">
        <v>5</v>
      </c>
      <c r="BR18" s="177">
        <v>2.9</v>
      </c>
      <c r="BS18" s="18"/>
      <c r="BT18" s="18"/>
      <c r="BU18" s="18"/>
      <c r="BV18" s="18"/>
      <c r="BW18" s="18"/>
      <c r="BX18" s="18"/>
      <c r="BY18" s="18"/>
      <c r="BZ18" s="18"/>
      <c r="CA18" s="140"/>
    </row>
    <row r="19" spans="1:86" ht="13.5" customHeight="1" thickBot="1">
      <c r="B19" s="1" t="s">
        <v>311</v>
      </c>
      <c r="J19" s="11"/>
      <c r="K19" s="11">
        <v>12.4</v>
      </c>
      <c r="L19" s="11">
        <v>16.100000000000001</v>
      </c>
      <c r="M19" s="11">
        <v>21.6</v>
      </c>
      <c r="N19" s="11">
        <v>27.2</v>
      </c>
      <c r="O19" s="11">
        <v>35.9</v>
      </c>
      <c r="P19" s="11">
        <v>41.8</v>
      </c>
      <c r="Q19" s="11">
        <v>52.9</v>
      </c>
      <c r="T19" s="1" t="s">
        <v>108</v>
      </c>
      <c r="Y19" s="139" t="s">
        <v>305</v>
      </c>
      <c r="Z19" s="18"/>
      <c r="AA19" s="18"/>
      <c r="AB19" s="139"/>
      <c r="AC19" s="18"/>
      <c r="AD19" s="18"/>
      <c r="AE19" s="1" t="s">
        <v>2</v>
      </c>
      <c r="AK19" s="2"/>
      <c r="AL19" s="2" t="str">
        <f>AE19</f>
        <v>kg/hod</v>
      </c>
      <c r="AM19" s="2"/>
      <c r="AO19" s="1" t="s">
        <v>59</v>
      </c>
      <c r="AR19" s="139"/>
      <c r="AS19" s="18"/>
      <c r="AT19" s="18"/>
      <c r="AU19" s="18"/>
      <c r="AV19" s="18"/>
      <c r="AW19" s="18"/>
      <c r="AX19" s="140"/>
      <c r="AZ19" s="139"/>
      <c r="BA19" s="8" t="s">
        <v>2</v>
      </c>
      <c r="BB19" s="9" t="s">
        <v>1</v>
      </c>
      <c r="BC19" s="13" t="s">
        <v>0</v>
      </c>
      <c r="BD19" s="18"/>
      <c r="BE19" s="18"/>
      <c r="BF19" s="18"/>
      <c r="BG19" s="18"/>
      <c r="BH19" s="18"/>
      <c r="BI19" s="18"/>
      <c r="BJ19" s="18"/>
      <c r="BK19" s="18"/>
      <c r="BL19" s="18"/>
      <c r="BM19" s="18"/>
      <c r="BN19" s="18"/>
      <c r="BO19" s="8" t="s">
        <v>2</v>
      </c>
      <c r="BP19" s="9" t="s">
        <v>1</v>
      </c>
      <c r="BQ19" s="13" t="s">
        <v>0</v>
      </c>
      <c r="BR19" s="178">
        <v>1.4</v>
      </c>
      <c r="BS19" s="18"/>
      <c r="BT19" s="18"/>
      <c r="BU19" s="18"/>
      <c r="BV19" s="18"/>
      <c r="BW19" s="18"/>
      <c r="BX19" s="18"/>
      <c r="BY19" s="18"/>
      <c r="BZ19" s="18"/>
      <c r="CA19" s="140"/>
      <c r="CD19" s="4" t="s">
        <v>6</v>
      </c>
      <c r="CE19" s="6" t="s">
        <v>5</v>
      </c>
      <c r="CF19" s="7" t="s">
        <v>5</v>
      </c>
    </row>
    <row r="20" spans="1:86" ht="13.5" customHeight="1" thickBot="1">
      <c r="B20" s="1" t="s">
        <v>312</v>
      </c>
      <c r="J20" s="2" t="s">
        <v>79</v>
      </c>
      <c r="U20" s="1" t="s">
        <v>109</v>
      </c>
      <c r="Y20" s="141" t="s">
        <v>306</v>
      </c>
      <c r="Z20" s="142"/>
      <c r="AA20" s="143"/>
      <c r="AB20" s="141"/>
      <c r="AC20" s="142"/>
      <c r="AD20" s="143"/>
      <c r="AE20" s="1">
        <f t="shared" ref="AE20:AE29" si="11">X26*1000/B26</f>
        <v>163.08432716196236</v>
      </c>
      <c r="AK20" s="2">
        <v>9</v>
      </c>
      <c r="AL20" s="2">
        <f>X26</f>
        <v>163.08432716196236</v>
      </c>
      <c r="AM20" s="270">
        <v>100.7</v>
      </c>
      <c r="AO20" s="1">
        <f>AL20*4.2*(AL31-AL43)/3600</f>
        <v>0.99904926106678227</v>
      </c>
      <c r="AP20" s="1">
        <f t="shared" ref="AP20:AP30" si="12">AM20*4.2*(AM31-AM43)/3600</f>
        <v>1.0004880666666658</v>
      </c>
      <c r="AR20" s="139"/>
      <c r="AS20" s="18"/>
      <c r="AT20" s="18"/>
      <c r="AU20" s="18"/>
      <c r="AV20" s="18"/>
      <c r="AW20" s="18"/>
      <c r="AX20" s="140"/>
      <c r="AZ20" s="139">
        <v>0.5</v>
      </c>
      <c r="BA20" s="18">
        <v>2.4500000000000002</v>
      </c>
      <c r="BB20" s="18">
        <v>1</v>
      </c>
      <c r="BC20" s="175">
        <f t="shared" ref="BC20:BC26" si="13">IF(LOG10(BB20/BA20/BA20)&lt;-2.875,3.5+(-2.875-LOG10(BB20/BA20/BA20))*$BR$18,3.5+(-2.875-LOG10(BB20/BA20/BA20))*$BR$19)</f>
        <v>0.56466503622069153</v>
      </c>
      <c r="BD20" s="18"/>
      <c r="BE20" s="18">
        <f>BQ20</f>
        <v>0.59869168531593475</v>
      </c>
      <c r="BF20" s="18">
        <f>AZ20</f>
        <v>0.5</v>
      </c>
      <c r="BG20" s="18">
        <f>BC20-BF20</f>
        <v>6.466503622069153E-2</v>
      </c>
      <c r="BH20" s="18">
        <f t="shared" ref="BH20:BH26" si="14">BE20-BF20</f>
        <v>9.8691685315934752E-2</v>
      </c>
      <c r="BI20" s="18"/>
      <c r="BJ20" s="18"/>
      <c r="BK20" s="18"/>
      <c r="BL20" s="18"/>
      <c r="BM20" s="18"/>
      <c r="BN20" s="18">
        <v>0.5</v>
      </c>
      <c r="BO20" s="18">
        <v>13.8</v>
      </c>
      <c r="BP20" s="18">
        <v>30</v>
      </c>
      <c r="BQ20" s="175">
        <f t="shared" ref="BQ20:BQ26" si="15">IF(LOG10(BP20/BO20/BO20)&lt;-2.875,3.5+(-2.875-LOG10(BP20/BO20/BO20))*$BR$18,3.5+(-2.875-LOG10(BP20/BO20/BO20))*$BR$19)</f>
        <v>0.59869168531593475</v>
      </c>
      <c r="BR20" s="18">
        <f t="shared" ref="BR20:BR26" si="16">IF(LOG10(BP20/BO20/BO20)&lt;-2.875,3.5+(-2.875-LOG10(BP20/BO20/BO20))*$BR$18,3.5+(-2.875-LOG10(BP20/BO20/BO20))*$BR$19)</f>
        <v>0.59869168531593475</v>
      </c>
      <c r="BS20" s="18">
        <f>LOG10(BP20/BO20/BO20)</f>
        <v>-0.80263691808281057</v>
      </c>
      <c r="BT20" s="18"/>
      <c r="BU20" s="18"/>
      <c r="BV20" s="18"/>
      <c r="BW20" s="18"/>
      <c r="BX20" s="18"/>
      <c r="BY20" s="18"/>
      <c r="BZ20" s="18"/>
      <c r="CA20" s="140"/>
      <c r="CD20" s="8" t="s">
        <v>2</v>
      </c>
      <c r="CE20" s="9" t="s">
        <v>1</v>
      </c>
      <c r="CF20" s="10" t="s">
        <v>145</v>
      </c>
    </row>
    <row r="21" spans="1:86" ht="13.5" customHeight="1" thickBot="1">
      <c r="B21" s="3">
        <v>1.05</v>
      </c>
      <c r="C21" s="1" t="s">
        <v>380</v>
      </c>
      <c r="J21" s="2">
        <v>10</v>
      </c>
      <c r="K21" s="2">
        <v>13</v>
      </c>
      <c r="L21" s="2">
        <v>16</v>
      </c>
      <c r="M21" s="2">
        <v>20</v>
      </c>
      <c r="N21" s="2">
        <v>25</v>
      </c>
      <c r="O21" s="2">
        <v>32</v>
      </c>
      <c r="V21" s="1" t="s">
        <v>110</v>
      </c>
      <c r="Y21" s="322" t="s">
        <v>155</v>
      </c>
      <c r="Z21" s="174"/>
      <c r="AA21" s="323">
        <v>1</v>
      </c>
      <c r="AB21" s="320">
        <v>0</v>
      </c>
      <c r="AC21" s="321">
        <v>0.75</v>
      </c>
      <c r="AD21" s="1" t="s">
        <v>1210</v>
      </c>
      <c r="AE21" s="1">
        <f t="shared" si="11"/>
        <v>141.88490675335439</v>
      </c>
      <c r="AK21" s="2">
        <v>8</v>
      </c>
      <c r="AL21" s="2">
        <f t="shared" ref="AL21:AL29" si="17">X27</f>
        <v>141.88490675335439</v>
      </c>
      <c r="AM21" s="270">
        <v>78.98</v>
      </c>
      <c r="AO21" s="1">
        <f t="shared" ref="AO21:AO29" si="18">AL21*4.2*(AL32-AL44)/3600</f>
        <v>0.98303951907806553</v>
      </c>
      <c r="AP21" s="1">
        <f t="shared" si="12"/>
        <v>1.0004923133333337</v>
      </c>
      <c r="AR21" s="139"/>
      <c r="AS21" s="18"/>
      <c r="AT21" s="18"/>
      <c r="AU21" s="18"/>
      <c r="AV21" s="18"/>
      <c r="AW21" s="18"/>
      <c r="AX21" s="140"/>
      <c r="AZ21" s="139">
        <v>1.5</v>
      </c>
      <c r="BA21" s="18">
        <v>4.8</v>
      </c>
      <c r="BB21" s="18">
        <v>1</v>
      </c>
      <c r="BC21" s="175">
        <f t="shared" si="13"/>
        <v>1.3824754646516442</v>
      </c>
      <c r="BD21" s="18"/>
      <c r="BE21" s="18">
        <f t="shared" ref="BE21:BE26" si="19">BQ21</f>
        <v>1.3689556177107631</v>
      </c>
      <c r="BF21" s="18">
        <f t="shared" ref="BF21:BF26" si="20">AZ21</f>
        <v>1.5</v>
      </c>
      <c r="BG21" s="18">
        <f t="shared" ref="BG21:BG26" si="21">BC21-BF21</f>
        <v>-0.11752453534835583</v>
      </c>
      <c r="BH21" s="18">
        <f t="shared" si="14"/>
        <v>-0.13104438228923687</v>
      </c>
      <c r="BI21" s="18"/>
      <c r="BJ21" s="18"/>
      <c r="BK21" s="18"/>
      <c r="BL21" s="18"/>
      <c r="BM21" s="18"/>
      <c r="BN21" s="18">
        <v>1.5</v>
      </c>
      <c r="BO21" s="18">
        <v>26</v>
      </c>
      <c r="BP21" s="18">
        <v>30</v>
      </c>
      <c r="BQ21" s="175">
        <f t="shared" si="15"/>
        <v>1.3689556177107631</v>
      </c>
      <c r="BR21" s="18">
        <f t="shared" si="16"/>
        <v>1.3689556177107631</v>
      </c>
      <c r="BS21" s="18">
        <f t="shared" ref="BS21:BS26" si="22">LOG10(BP21/BO21/BO21)</f>
        <v>-1.3528254412219736</v>
      </c>
      <c r="BT21" s="18"/>
      <c r="BU21" s="18"/>
      <c r="BV21" s="18"/>
      <c r="BW21" s="18"/>
      <c r="BX21" s="18"/>
      <c r="BY21" s="18"/>
      <c r="BZ21" s="18"/>
      <c r="CA21" s="140"/>
      <c r="CC21" s="1">
        <v>1</v>
      </c>
      <c r="CD21" s="1">
        <v>23</v>
      </c>
      <c r="CE21" s="1">
        <v>10</v>
      </c>
      <c r="CF21" s="2">
        <f t="shared" ref="CF21:CF29" si="23">IF(LOG10(CE21/CD21/CD21)&lt;-3.003,3+(-3.003-LOG10(CE21/CD21/CD21))*$BF$6,3+(-3.003-LOG10(CE21/CD21/CD21))*$BF$7)</f>
        <v>-0.45476968550499919</v>
      </c>
    </row>
    <row r="22" spans="1:86" ht="13.5" customHeight="1">
      <c r="B22" s="14" t="s">
        <v>40</v>
      </c>
      <c r="C22" s="15"/>
      <c r="D22" s="15"/>
      <c r="E22" s="15"/>
      <c r="F22" s="15"/>
      <c r="G22" s="15"/>
      <c r="H22" s="15" t="s">
        <v>39</v>
      </c>
      <c r="I22" s="16"/>
      <c r="J22" s="14" t="s">
        <v>38</v>
      </c>
      <c r="K22" s="15"/>
      <c r="L22" s="15"/>
      <c r="M22" s="15"/>
      <c r="N22" s="15" t="s">
        <v>37</v>
      </c>
      <c r="O22" s="155">
        <v>10</v>
      </c>
      <c r="P22" s="15" t="s">
        <v>322</v>
      </c>
      <c r="Q22" s="15"/>
      <c r="R22" s="15"/>
      <c r="S22" s="16"/>
      <c r="T22" s="14" t="s">
        <v>36</v>
      </c>
      <c r="U22" s="15"/>
      <c r="V22" s="16"/>
      <c r="W22" s="14"/>
      <c r="X22" s="15"/>
      <c r="Y22" s="15"/>
      <c r="Z22" s="16"/>
      <c r="AB22" s="324">
        <v>0</v>
      </c>
      <c r="AC22" s="1" t="s">
        <v>184</v>
      </c>
      <c r="AE22" s="1">
        <f t="shared" si="11"/>
        <v>129.55667705356018</v>
      </c>
      <c r="AK22" s="2">
        <v>7</v>
      </c>
      <c r="AL22" s="2">
        <f t="shared" si="17"/>
        <v>129.55667705356018</v>
      </c>
      <c r="AM22" s="270">
        <v>70.38</v>
      </c>
      <c r="AO22" s="1">
        <f t="shared" si="18"/>
        <v>0.97392254865837646</v>
      </c>
      <c r="AP22" s="1">
        <f t="shared" si="12"/>
        <v>1.0005103500000001</v>
      </c>
      <c r="AR22" s="139"/>
      <c r="AS22" s="18"/>
      <c r="AT22" s="18"/>
      <c r="AU22" s="18"/>
      <c r="AV22" s="18"/>
      <c r="AW22" s="18"/>
      <c r="AX22" s="140"/>
      <c r="AZ22" s="139">
        <v>2.5</v>
      </c>
      <c r="BA22" s="18">
        <v>12.5</v>
      </c>
      <c r="BB22" s="18">
        <v>1</v>
      </c>
      <c r="BC22" s="175">
        <f t="shared" si="13"/>
        <v>2.5463480364225584</v>
      </c>
      <c r="BD22" s="18"/>
      <c r="BE22" s="18">
        <f t="shared" si="19"/>
        <v>2.5905536198058838</v>
      </c>
      <c r="BF22" s="18">
        <f t="shared" si="20"/>
        <v>2.5</v>
      </c>
      <c r="BG22" s="18">
        <f t="shared" si="21"/>
        <v>4.6348036422558359E-2</v>
      </c>
      <c r="BH22" s="18">
        <f t="shared" si="14"/>
        <v>9.0553619805883834E-2</v>
      </c>
      <c r="BI22" s="18"/>
      <c r="BJ22" s="18"/>
      <c r="BK22" s="18"/>
      <c r="BL22" s="18"/>
      <c r="BM22" s="18"/>
      <c r="BN22" s="18">
        <v>2.5</v>
      </c>
      <c r="BO22" s="18">
        <v>71</v>
      </c>
      <c r="BP22" s="18">
        <v>30</v>
      </c>
      <c r="BQ22" s="175">
        <f t="shared" si="15"/>
        <v>2.5905536198058838</v>
      </c>
      <c r="BR22" s="18">
        <f t="shared" si="16"/>
        <v>2.5905536198058838</v>
      </c>
      <c r="BS22" s="18">
        <f t="shared" si="22"/>
        <v>-2.2253954427184883</v>
      </c>
      <c r="BT22" s="18"/>
      <c r="BU22" s="18"/>
      <c r="BV22" s="18"/>
      <c r="BW22" s="18"/>
      <c r="BX22" s="18"/>
      <c r="BY22" s="18"/>
      <c r="BZ22" s="18"/>
      <c r="CA22" s="140"/>
      <c r="CC22" s="1">
        <v>1.5</v>
      </c>
      <c r="CD22" s="1">
        <v>39</v>
      </c>
      <c r="CE22" s="1">
        <f>CE21</f>
        <v>10</v>
      </c>
      <c r="CF22" s="2">
        <f t="shared" si="23"/>
        <v>0.7836488779430959</v>
      </c>
    </row>
    <row r="23" spans="1:86" ht="13.5" customHeight="1">
      <c r="B23" s="17" t="s">
        <v>35</v>
      </c>
      <c r="C23" s="18" t="s">
        <v>22</v>
      </c>
      <c r="D23" s="18"/>
      <c r="E23" s="18" t="s">
        <v>34</v>
      </c>
      <c r="F23" s="18" t="s">
        <v>33</v>
      </c>
      <c r="G23" s="18" t="s">
        <v>7</v>
      </c>
      <c r="H23" s="18" t="s">
        <v>32</v>
      </c>
      <c r="I23" s="19" t="s">
        <v>22</v>
      </c>
      <c r="J23" s="17" t="s">
        <v>31</v>
      </c>
      <c r="K23" s="18"/>
      <c r="L23" s="18" t="s">
        <v>30</v>
      </c>
      <c r="M23" s="18"/>
      <c r="N23" s="18" t="s">
        <v>29</v>
      </c>
      <c r="O23" s="18"/>
      <c r="P23" s="18" t="s">
        <v>28</v>
      </c>
      <c r="Q23" s="20" t="s">
        <v>27</v>
      </c>
      <c r="R23" s="21" t="s">
        <v>26</v>
      </c>
      <c r="S23" s="22" t="s">
        <v>7</v>
      </c>
      <c r="T23" s="23" t="s">
        <v>25</v>
      </c>
      <c r="U23" s="24" t="s">
        <v>24</v>
      </c>
      <c r="V23" s="25" t="s">
        <v>7</v>
      </c>
      <c r="W23" s="26" t="s">
        <v>23</v>
      </c>
      <c r="X23" s="4" t="s">
        <v>22</v>
      </c>
      <c r="Y23" s="4" t="s">
        <v>21</v>
      </c>
      <c r="Z23" s="5" t="s">
        <v>20</v>
      </c>
      <c r="AA23" s="4" t="s">
        <v>57</v>
      </c>
      <c r="AB23" s="324">
        <v>1</v>
      </c>
      <c r="AC23" s="4" t="s">
        <v>180</v>
      </c>
      <c r="AE23" s="1">
        <f t="shared" si="11"/>
        <v>120.66516432957383</v>
      </c>
      <c r="AH23" s="46" t="s">
        <v>513</v>
      </c>
      <c r="AI23" s="46"/>
      <c r="AJ23" s="46"/>
      <c r="AK23" s="2">
        <v>6</v>
      </c>
      <c r="AL23" s="2">
        <f t="shared" si="17"/>
        <v>120.66516432957383</v>
      </c>
      <c r="AM23" s="270">
        <v>64.06</v>
      </c>
      <c r="AO23" s="1">
        <f t="shared" si="18"/>
        <v>0.96723546251212644</v>
      </c>
      <c r="AP23" s="1">
        <f t="shared" si="12"/>
        <v>1.0004997566666669</v>
      </c>
      <c r="AR23" s="139"/>
      <c r="AS23" s="18"/>
      <c r="AT23" s="18"/>
      <c r="AU23" s="18"/>
      <c r="AV23" s="18"/>
      <c r="AW23" s="18"/>
      <c r="AX23" s="140"/>
      <c r="AZ23" s="139">
        <v>3.5</v>
      </c>
      <c r="BA23" s="18">
        <v>27</v>
      </c>
      <c r="BB23" s="18">
        <v>1</v>
      </c>
      <c r="BC23" s="175">
        <f t="shared" si="13"/>
        <v>3.4828185396451645</v>
      </c>
      <c r="BD23" s="18"/>
      <c r="BE23" s="18">
        <f t="shared" si="19"/>
        <v>3.5001776638359301</v>
      </c>
      <c r="BF23" s="18">
        <f t="shared" si="20"/>
        <v>3.5</v>
      </c>
      <c r="BG23" s="18">
        <f t="shared" si="21"/>
        <v>-1.7181460354835476E-2</v>
      </c>
      <c r="BH23" s="18">
        <f t="shared" si="14"/>
        <v>1.7766383593009749E-4</v>
      </c>
      <c r="BI23" s="18"/>
      <c r="BJ23" s="18"/>
      <c r="BK23" s="18"/>
      <c r="BL23" s="18"/>
      <c r="BM23" s="18"/>
      <c r="BN23" s="18">
        <v>3.5</v>
      </c>
      <c r="BO23" s="18">
        <v>150</v>
      </c>
      <c r="BP23" s="18">
        <v>30</v>
      </c>
      <c r="BQ23" s="175">
        <f t="shared" si="15"/>
        <v>3.5001776638359301</v>
      </c>
      <c r="BR23" s="18">
        <f t="shared" si="16"/>
        <v>3.5001776638359301</v>
      </c>
      <c r="BS23" s="18">
        <f t="shared" si="22"/>
        <v>-2.8750612633917001</v>
      </c>
      <c r="BT23" s="18"/>
      <c r="BU23" s="18"/>
      <c r="BV23" s="18"/>
      <c r="BW23" s="18"/>
      <c r="BX23" s="18"/>
      <c r="BY23" s="18"/>
      <c r="BZ23" s="18"/>
      <c r="CA23" s="140"/>
      <c r="CC23" s="1">
        <v>2</v>
      </c>
      <c r="CD23" s="1">
        <v>55</v>
      </c>
      <c r="CE23" s="1">
        <f t="shared" ref="CE23:CE29" si="24">CE22</f>
        <v>10</v>
      </c>
      <c r="CF23" s="2">
        <f t="shared" si="23"/>
        <v>1.5898585232689166</v>
      </c>
    </row>
    <row r="24" spans="1:86" ht="13.5" customHeight="1">
      <c r="B24" s="27" t="s">
        <v>3</v>
      </c>
      <c r="C24" s="28" t="s">
        <v>17</v>
      </c>
      <c r="D24" s="20" t="s">
        <v>13</v>
      </c>
      <c r="E24" s="20" t="s">
        <v>19</v>
      </c>
      <c r="F24" s="28" t="s">
        <v>19</v>
      </c>
      <c r="G24" s="20" t="s">
        <v>3</v>
      </c>
      <c r="H24" s="20" t="s">
        <v>19</v>
      </c>
      <c r="I24" s="29" t="s">
        <v>12</v>
      </c>
      <c r="J24" s="30" t="s">
        <v>18</v>
      </c>
      <c r="K24" s="31" t="s">
        <v>17</v>
      </c>
      <c r="L24" s="32" t="s">
        <v>16</v>
      </c>
      <c r="M24" s="20" t="s">
        <v>15</v>
      </c>
      <c r="N24" s="20" t="s">
        <v>14</v>
      </c>
      <c r="O24" s="20" t="s">
        <v>13</v>
      </c>
      <c r="P24" s="20" t="s">
        <v>12</v>
      </c>
      <c r="Q24" s="20" t="s">
        <v>11</v>
      </c>
      <c r="R24" s="21" t="s">
        <v>11</v>
      </c>
      <c r="S24" s="22" t="s">
        <v>10</v>
      </c>
      <c r="T24" s="23" t="s">
        <v>9</v>
      </c>
      <c r="U24" s="24" t="s">
        <v>9</v>
      </c>
      <c r="V24" s="33" t="s">
        <v>8</v>
      </c>
      <c r="W24" s="34" t="s">
        <v>7</v>
      </c>
      <c r="X24" s="4" t="s">
        <v>6</v>
      </c>
      <c r="Y24" s="6" t="s">
        <v>5</v>
      </c>
      <c r="Z24" s="7" t="s">
        <v>5</v>
      </c>
      <c r="AA24" s="6" t="s">
        <v>7</v>
      </c>
      <c r="AB24" s="325">
        <v>0</v>
      </c>
      <c r="AC24" s="4" t="s">
        <v>181</v>
      </c>
      <c r="AE24" s="1">
        <f t="shared" si="11"/>
        <v>113.66906398011282</v>
      </c>
      <c r="AG24" s="2"/>
      <c r="AH24" s="158" t="s">
        <v>348</v>
      </c>
      <c r="AI24" s="137">
        <f>M39</f>
        <v>12326.325065110266</v>
      </c>
      <c r="AJ24" s="138">
        <f>SUM(AH26:AJ35)</f>
        <v>12326.325065110252</v>
      </c>
      <c r="AK24" s="2">
        <v>5</v>
      </c>
      <c r="AL24" s="2">
        <f t="shared" si="17"/>
        <v>113.66906398011282</v>
      </c>
      <c r="AM24" s="270">
        <v>59.66</v>
      </c>
      <c r="AO24" s="1">
        <f t="shared" si="18"/>
        <v>0.96183644731445805</v>
      </c>
      <c r="AP24" s="1">
        <f t="shared" si="12"/>
        <v>1.0004783133333339</v>
      </c>
      <c r="AR24" s="141"/>
      <c r="AS24" s="143"/>
      <c r="AT24" s="143"/>
      <c r="AU24" s="143"/>
      <c r="AV24" s="143"/>
      <c r="AW24" s="143"/>
      <c r="AX24" s="144"/>
      <c r="AZ24" s="139">
        <v>4.5</v>
      </c>
      <c r="BA24" s="18">
        <v>42</v>
      </c>
      <c r="BB24" s="18">
        <v>1</v>
      </c>
      <c r="BC24" s="175">
        <f t="shared" si="13"/>
        <v>4.5773458843078227</v>
      </c>
      <c r="BD24" s="18"/>
      <c r="BE24" s="18">
        <f t="shared" si="19"/>
        <v>4.576869810215018</v>
      </c>
      <c r="BF24" s="18">
        <f t="shared" si="20"/>
        <v>4.5</v>
      </c>
      <c r="BG24" s="18">
        <f t="shared" si="21"/>
        <v>7.7345884307822743E-2</v>
      </c>
      <c r="BH24" s="18">
        <f t="shared" si="14"/>
        <v>7.6869810215018042E-2</v>
      </c>
      <c r="BI24" s="18"/>
      <c r="BJ24" s="18"/>
      <c r="BK24" s="18"/>
      <c r="BL24" s="18"/>
      <c r="BM24" s="18"/>
      <c r="BN24" s="18">
        <v>4.5</v>
      </c>
      <c r="BO24" s="18">
        <v>230</v>
      </c>
      <c r="BP24" s="18">
        <v>30</v>
      </c>
      <c r="BQ24" s="175">
        <f t="shared" si="15"/>
        <v>4.576869810215018</v>
      </c>
      <c r="BR24" s="18">
        <f t="shared" si="16"/>
        <v>4.576869810215018</v>
      </c>
      <c r="BS24" s="18">
        <f t="shared" si="22"/>
        <v>-3.2463344173155235</v>
      </c>
      <c r="BT24" s="18"/>
      <c r="BU24" s="18"/>
      <c r="BV24" s="18"/>
      <c r="BW24" s="18"/>
      <c r="BX24" s="18"/>
      <c r="BY24" s="18"/>
      <c r="BZ24" s="18"/>
      <c r="CA24" s="140"/>
      <c r="CC24" s="1">
        <v>2.5</v>
      </c>
      <c r="CD24" s="1">
        <v>73</v>
      </c>
      <c r="CE24" s="1">
        <f t="shared" si="24"/>
        <v>10</v>
      </c>
      <c r="CF24" s="2">
        <f t="shared" si="23"/>
        <v>2.2538434446504616</v>
      </c>
    </row>
    <row r="25" spans="1:86" ht="13.5" customHeight="1" thickBot="1">
      <c r="B25" s="199" t="s">
        <v>405</v>
      </c>
      <c r="C25" s="36"/>
      <c r="D25" s="37"/>
      <c r="E25" s="38"/>
      <c r="F25" s="38"/>
      <c r="G25" s="37"/>
      <c r="H25" s="37"/>
      <c r="I25" s="39"/>
      <c r="J25" s="40" t="s">
        <v>4</v>
      </c>
      <c r="K25" s="41"/>
      <c r="L25" s="36"/>
      <c r="M25" s="37"/>
      <c r="N25" s="156">
        <v>1.25</v>
      </c>
      <c r="O25" s="157" t="s">
        <v>331</v>
      </c>
      <c r="P25" s="37"/>
      <c r="Q25" s="42"/>
      <c r="R25" s="42"/>
      <c r="S25" s="39" t="s">
        <v>3</v>
      </c>
      <c r="T25" s="43"/>
      <c r="U25" s="44"/>
      <c r="V25" s="39" t="s">
        <v>3</v>
      </c>
      <c r="W25" s="45" t="s">
        <v>3</v>
      </c>
      <c r="X25" s="8" t="s">
        <v>2</v>
      </c>
      <c r="Y25" s="9" t="s">
        <v>1</v>
      </c>
      <c r="Z25" s="72" t="s">
        <v>0</v>
      </c>
      <c r="AB25" s="64" t="s">
        <v>302</v>
      </c>
      <c r="AC25" s="64" t="s">
        <v>303</v>
      </c>
      <c r="AD25" s="2" t="s">
        <v>1209</v>
      </c>
      <c r="AE25" s="1">
        <f t="shared" si="11"/>
        <v>107.89379449639537</v>
      </c>
      <c r="AF25" s="2" t="s">
        <v>317</v>
      </c>
      <c r="AG25" s="1" t="s">
        <v>332</v>
      </c>
      <c r="AH25" s="139" t="s">
        <v>345</v>
      </c>
      <c r="AI25" s="18" t="s">
        <v>346</v>
      </c>
      <c r="AJ25" s="140" t="s">
        <v>347</v>
      </c>
      <c r="AK25" s="2">
        <v>4</v>
      </c>
      <c r="AL25" s="2">
        <f t="shared" si="17"/>
        <v>107.89379449639537</v>
      </c>
      <c r="AM25" s="270">
        <v>56.38</v>
      </c>
      <c r="AO25" s="1">
        <f t="shared" si="18"/>
        <v>0.95725830873828988</v>
      </c>
      <c r="AP25" s="1">
        <f t="shared" si="12"/>
        <v>1.0005288766666667</v>
      </c>
      <c r="AZ25" s="139">
        <v>5.5</v>
      </c>
      <c r="BA25" s="18">
        <v>60</v>
      </c>
      <c r="BB25" s="18">
        <v>1</v>
      </c>
      <c r="BC25" s="175">
        <f t="shared" si="13"/>
        <v>5.4757772522251331</v>
      </c>
      <c r="BD25" s="18"/>
      <c r="BE25" s="18">
        <f t="shared" si="19"/>
        <v>5.4862292126047265</v>
      </c>
      <c r="BF25" s="18">
        <f t="shared" si="20"/>
        <v>5.5</v>
      </c>
      <c r="BG25" s="18">
        <f t="shared" si="21"/>
        <v>-2.4222747774866882E-2</v>
      </c>
      <c r="BH25" s="18">
        <f t="shared" si="14"/>
        <v>-1.3770787395273487E-2</v>
      </c>
      <c r="BI25" s="18"/>
      <c r="BJ25" s="18"/>
      <c r="BK25" s="18"/>
      <c r="BL25" s="18"/>
      <c r="BM25" s="18"/>
      <c r="BN25" s="18">
        <v>5.5</v>
      </c>
      <c r="BO25" s="18">
        <v>330</v>
      </c>
      <c r="BP25" s="18">
        <v>30</v>
      </c>
      <c r="BQ25" s="175">
        <f t="shared" si="15"/>
        <v>5.4862292126047265</v>
      </c>
      <c r="BR25" s="18">
        <f t="shared" si="16"/>
        <v>5.4862292126047265</v>
      </c>
      <c r="BS25" s="18">
        <f t="shared" si="22"/>
        <v>-3.5599066250361124</v>
      </c>
      <c r="BT25" s="18"/>
      <c r="BU25" s="18"/>
      <c r="BV25" s="18"/>
      <c r="BW25" s="18"/>
      <c r="BX25" s="18"/>
      <c r="BY25" s="18"/>
      <c r="BZ25" s="18"/>
      <c r="CA25" s="140"/>
      <c r="CC25" s="1">
        <v>3</v>
      </c>
      <c r="CD25" s="1">
        <v>90</v>
      </c>
      <c r="CE25" s="1">
        <f t="shared" si="24"/>
        <v>10</v>
      </c>
      <c r="CF25" s="2">
        <f t="shared" si="23"/>
        <v>2.7448095509723545</v>
      </c>
    </row>
    <row r="26" spans="1:86" ht="13.5" customHeight="1">
      <c r="A26" s="1">
        <v>1</v>
      </c>
      <c r="B26" s="152">
        <v>1000</v>
      </c>
      <c r="C26" s="1">
        <f t="shared" ref="C26:E35" si="25">C81</f>
        <v>4.5301201989433992E-2</v>
      </c>
      <c r="D26" s="1">
        <f t="shared" si="25"/>
        <v>0.9013719016497288</v>
      </c>
      <c r="E26" s="1">
        <f t="shared" si="25"/>
        <v>73.238673686621667</v>
      </c>
      <c r="F26" s="3">
        <v>20</v>
      </c>
      <c r="G26" s="1">
        <f t="shared" ref="G26:I35" si="26">G81</f>
        <v>999.04926106678215</v>
      </c>
      <c r="H26" s="1">
        <f t="shared" si="26"/>
        <v>67.987844542219548</v>
      </c>
      <c r="I26" s="1">
        <f t="shared" si="26"/>
        <v>132.44681678423089</v>
      </c>
      <c r="J26" s="153">
        <v>10</v>
      </c>
      <c r="K26" s="1">
        <f t="shared" ref="K26:K35" si="27">K81</f>
        <v>4.5301201989433992E-2</v>
      </c>
      <c r="L26" s="154">
        <v>3</v>
      </c>
      <c r="M26" s="1">
        <f t="shared" ref="M26:Z26" si="28">M81</f>
        <v>0.57708537566157947</v>
      </c>
      <c r="N26" s="1">
        <f t="shared" si="28"/>
        <v>1944.0369725700677</v>
      </c>
      <c r="O26" s="1">
        <f t="shared" si="28"/>
        <v>0.99407642816294539</v>
      </c>
      <c r="P26" s="1">
        <f t="shared" si="28"/>
        <v>5.1985375587810632</v>
      </c>
      <c r="Q26" s="1">
        <f t="shared" si="28"/>
        <v>73.555916002360917</v>
      </c>
      <c r="R26" s="1">
        <f t="shared" si="28"/>
        <v>73.238673686621667</v>
      </c>
      <c r="S26" s="1">
        <f t="shared" si="28"/>
        <v>60.360124544577637</v>
      </c>
      <c r="T26" s="1">
        <f t="shared" si="28"/>
        <v>67.987844542219548</v>
      </c>
      <c r="U26" s="1">
        <f t="shared" si="28"/>
        <v>67.703585097768297</v>
      </c>
      <c r="V26" s="1">
        <f t="shared" si="28"/>
        <v>54.084636944058857</v>
      </c>
      <c r="W26" s="1">
        <f t="shared" si="28"/>
        <v>999.05926106678214</v>
      </c>
      <c r="X26" s="1">
        <f t="shared" si="28"/>
        <v>163.08432716196236</v>
      </c>
      <c r="Y26" s="1">
        <f t="shared" si="28"/>
        <v>6.0000000000000053</v>
      </c>
      <c r="Z26" s="184">
        <f t="shared" si="28"/>
        <v>5.7378522857875636</v>
      </c>
      <c r="AA26" s="3">
        <f>B26*AA$21</f>
        <v>1000</v>
      </c>
      <c r="AB26" s="158">
        <f t="shared" ref="AB26:AC35" si="29">AB81</f>
        <v>0.67897419779773593</v>
      </c>
      <c r="AC26" s="138">
        <f t="shared" si="29"/>
        <v>7.1195084927725532</v>
      </c>
      <c r="AD26" s="319">
        <f>AB26/B26*1000</f>
        <v>0.67897419779773593</v>
      </c>
      <c r="AE26" s="1">
        <f t="shared" si="11"/>
        <v>102.97775642436926</v>
      </c>
      <c r="AF26" s="187">
        <f>W26/AA26</f>
        <v>0.99905926106678211</v>
      </c>
      <c r="AG26" s="1">
        <f>(S26+V26)/G26</f>
        <v>0.11455367212466848</v>
      </c>
      <c r="AH26" s="159">
        <f>(E26-H26)*X26*4200/3600</f>
        <v>999.04926106678226</v>
      </c>
      <c r="AI26" s="18">
        <f>(Q26-R26)*M26*J26*J26*3.14/4*4.2</f>
        <v>60.36012454457817</v>
      </c>
      <c r="AJ26" s="140">
        <f>(T26-U26)*M26*J26*J26*3.14/4*4.2</f>
        <v>54.084636944059824</v>
      </c>
      <c r="AK26" s="2">
        <v>3</v>
      </c>
      <c r="AL26" s="2">
        <f t="shared" si="17"/>
        <v>102.97775642436926</v>
      </c>
      <c r="AM26" s="270">
        <v>53.11</v>
      </c>
      <c r="AO26" s="1">
        <f t="shared" si="18"/>
        <v>0.95326043339242006</v>
      </c>
      <c r="AP26" s="1">
        <f t="shared" si="12"/>
        <v>1.0004950316666661</v>
      </c>
      <c r="AZ26" s="141">
        <v>6.5</v>
      </c>
      <c r="BA26" s="143">
        <v>86</v>
      </c>
      <c r="BB26" s="143">
        <v>1</v>
      </c>
      <c r="BC26" s="142">
        <f t="shared" si="13"/>
        <v>6.3825910172126923</v>
      </c>
      <c r="BD26" s="143"/>
      <c r="BE26" s="143">
        <f t="shared" si="19"/>
        <v>6.3770159373401398</v>
      </c>
      <c r="BF26" s="143">
        <f t="shared" si="20"/>
        <v>6.5</v>
      </c>
      <c r="BG26" s="143">
        <f t="shared" si="21"/>
        <v>-0.11740898278730771</v>
      </c>
      <c r="BH26" s="143">
        <f t="shared" si="14"/>
        <v>-0.12298406265986017</v>
      </c>
      <c r="BI26" s="143"/>
      <c r="BJ26" s="143"/>
      <c r="BK26" s="143"/>
      <c r="BL26" s="143"/>
      <c r="BM26" s="143"/>
      <c r="BN26" s="143">
        <v>6.5</v>
      </c>
      <c r="BO26" s="143">
        <v>470</v>
      </c>
      <c r="BP26" s="143">
        <v>30</v>
      </c>
      <c r="BQ26" s="142">
        <f t="shared" si="15"/>
        <v>6.3770159373401398</v>
      </c>
      <c r="BR26" s="143">
        <f t="shared" si="16"/>
        <v>6.3770159373401398</v>
      </c>
      <c r="BS26" s="143">
        <f t="shared" si="22"/>
        <v>-3.8670744611517724</v>
      </c>
      <c r="BT26" s="143"/>
      <c r="BU26" s="143"/>
      <c r="BV26" s="143"/>
      <c r="BW26" s="143"/>
      <c r="BX26" s="143"/>
      <c r="BY26" s="143"/>
      <c r="BZ26" s="143"/>
      <c r="CA26" s="144"/>
      <c r="CC26" s="1">
        <v>3.5</v>
      </c>
      <c r="CD26" s="1">
        <v>102</v>
      </c>
      <c r="CE26" s="1">
        <f t="shared" si="24"/>
        <v>10</v>
      </c>
      <c r="CF26" s="2">
        <f t="shared" si="23"/>
        <v>3.0908821985525434</v>
      </c>
    </row>
    <row r="27" spans="1:86" ht="13.5" customHeight="1">
      <c r="A27" s="1">
        <v>2</v>
      </c>
      <c r="B27" s="154">
        <f t="shared" ref="B27:B35" si="30">B26</f>
        <v>1000</v>
      </c>
      <c r="C27" s="1">
        <f t="shared" si="25"/>
        <v>3.9412474098153995E-2</v>
      </c>
      <c r="D27" s="1">
        <f t="shared" si="25"/>
        <v>0.88726037557415383</v>
      </c>
      <c r="E27" s="1">
        <f t="shared" si="25"/>
        <v>73.555916002360917</v>
      </c>
      <c r="F27" s="1">
        <f>F26</f>
        <v>20</v>
      </c>
      <c r="G27" s="1">
        <f t="shared" si="26"/>
        <v>999.46369720310474</v>
      </c>
      <c r="H27" s="1">
        <f t="shared" si="26"/>
        <v>67.518042146472581</v>
      </c>
      <c r="I27" s="1">
        <f t="shared" si="26"/>
        <v>152.2360657962609</v>
      </c>
      <c r="J27" s="154">
        <v>14.142135623730951</v>
      </c>
      <c r="K27" s="1">
        <f t="shared" si="27"/>
        <v>8.471367608758798E-2</v>
      </c>
      <c r="L27" s="154">
        <f>L26</f>
        <v>3</v>
      </c>
      <c r="M27" s="1">
        <f t="shared" ref="M27:Z27" si="31">M82</f>
        <v>0.5395775546980125</v>
      </c>
      <c r="N27" s="1">
        <f t="shared" si="31"/>
        <v>1106.9799114971051</v>
      </c>
      <c r="O27" s="1">
        <f t="shared" si="31"/>
        <v>0.99573536984174549</v>
      </c>
      <c r="P27" s="1">
        <f t="shared" si="31"/>
        <v>5.5599051033155407</v>
      </c>
      <c r="Q27" s="1">
        <f t="shared" si="31"/>
        <v>73.785290373759324</v>
      </c>
      <c r="R27" s="1">
        <f t="shared" si="31"/>
        <v>73.555916002360917</v>
      </c>
      <c r="S27" s="1">
        <f t="shared" si="31"/>
        <v>81.61081404604387</v>
      </c>
      <c r="T27" s="1">
        <f t="shared" si="31"/>
        <v>67.617262474317542</v>
      </c>
      <c r="U27" s="1">
        <f t="shared" si="31"/>
        <v>67.414192460716038</v>
      </c>
      <c r="V27" s="1">
        <f t="shared" si="31"/>
        <v>72.251790892424523</v>
      </c>
      <c r="W27" s="1">
        <f t="shared" si="31"/>
        <v>999.47369720310473</v>
      </c>
      <c r="X27" s="1">
        <f t="shared" si="31"/>
        <v>141.88490675335439</v>
      </c>
      <c r="Y27" s="1">
        <f t="shared" si="31"/>
        <v>9.8880739451401407</v>
      </c>
      <c r="Z27" s="185">
        <f t="shared" si="31"/>
        <v>4.7579060088487033</v>
      </c>
      <c r="AA27" s="3">
        <f t="shared" ref="AA27:AA35" si="32">B27*AA$21</f>
        <v>1000</v>
      </c>
      <c r="AB27" s="139">
        <f t="shared" si="29"/>
        <v>0.46014744614747599</v>
      </c>
      <c r="AC27" s="140">
        <f t="shared" si="29"/>
        <v>4.9568684333212758</v>
      </c>
      <c r="AD27" s="319">
        <f t="shared" ref="AD27:AD35" si="33">AB27/B27*1000</f>
        <v>0.46014744614747599</v>
      </c>
      <c r="AE27" s="1">
        <f t="shared" si="11"/>
        <v>98.702356997074034</v>
      </c>
      <c r="AF27" s="188">
        <f t="shared" ref="AF27:AF35" si="34">W27/AA27</f>
        <v>0.99947369720310475</v>
      </c>
      <c r="AG27" s="1">
        <f t="shared" ref="AG27:AG35" si="35">(S27+V27)/G27</f>
        <v>0.15394516616164938</v>
      </c>
      <c r="AH27" s="159">
        <f t="shared" ref="AH27:AH35" si="36">(E27-H27)*X27*4200/3600</f>
        <v>999.46369720310486</v>
      </c>
      <c r="AI27" s="18">
        <f t="shared" ref="AI27:AI35" si="37">(Q27-R27)*M27*J27*J27*3.14/4*4.2</f>
        <v>81.610814046042819</v>
      </c>
      <c r="AJ27" s="140">
        <f t="shared" ref="AJ27:AJ35" si="38">(T27-U27)*M27*J27*J27*3.14/4*4.2</f>
        <v>72.251790892427621</v>
      </c>
      <c r="AK27" s="2">
        <v>2</v>
      </c>
      <c r="AL27" s="2">
        <f t="shared" si="17"/>
        <v>98.702356997074034</v>
      </c>
      <c r="AM27" s="270">
        <v>50.51</v>
      </c>
      <c r="AO27" s="1">
        <f t="shared" si="18"/>
        <v>0.9497004555798646</v>
      </c>
      <c r="AP27" s="1">
        <f t="shared" si="12"/>
        <v>0.98286567166666583</v>
      </c>
      <c r="BC27" s="48"/>
      <c r="CC27" s="1">
        <v>4</v>
      </c>
      <c r="CD27" s="1">
        <v>114</v>
      </c>
      <c r="CE27" s="1">
        <f t="shared" si="24"/>
        <v>10</v>
      </c>
      <c r="CF27" s="2">
        <f t="shared" si="23"/>
        <v>3.7091820971068499</v>
      </c>
    </row>
    <row r="28" spans="1:86" ht="13.5" customHeight="1">
      <c r="A28" s="1">
        <v>3</v>
      </c>
      <c r="B28" s="154">
        <f t="shared" si="30"/>
        <v>1000</v>
      </c>
      <c r="C28" s="1">
        <f t="shared" si="25"/>
        <v>3.5987965848211165E-2</v>
      </c>
      <c r="D28" s="1">
        <f t="shared" si="25"/>
        <v>0.87703457010075414</v>
      </c>
      <c r="E28" s="1">
        <f t="shared" si="25"/>
        <v>73.785290373759324</v>
      </c>
      <c r="F28" s="1">
        <f t="shared" ref="F28:F35" si="39">F27</f>
        <v>20</v>
      </c>
      <c r="G28" s="1">
        <f t="shared" si="26"/>
        <v>999.66189986606867</v>
      </c>
      <c r="H28" s="1">
        <f t="shared" si="26"/>
        <v>67.171559020694247</v>
      </c>
      <c r="I28" s="1">
        <f t="shared" si="26"/>
        <v>166.72239896265876</v>
      </c>
      <c r="J28" s="154">
        <v>17.320508075688775</v>
      </c>
      <c r="K28" s="1">
        <f t="shared" si="27"/>
        <v>0.12070164193579914</v>
      </c>
      <c r="L28" s="154">
        <f t="shared" ref="L28:L35" si="40">L27</f>
        <v>3</v>
      </c>
      <c r="M28" s="1">
        <f t="shared" ref="M28:Z28" si="41">M83</f>
        <v>0.51253351140466707</v>
      </c>
      <c r="N28" s="1">
        <f t="shared" si="41"/>
        <v>778.8520108969509</v>
      </c>
      <c r="O28" s="1">
        <f t="shared" si="41"/>
        <v>0.9964163331483975</v>
      </c>
      <c r="P28" s="1">
        <f t="shared" si="41"/>
        <v>5.853275801962873</v>
      </c>
      <c r="Q28" s="1">
        <f t="shared" si="41"/>
        <v>73.978732166917439</v>
      </c>
      <c r="R28" s="1">
        <f t="shared" si="41"/>
        <v>73.785290373759324</v>
      </c>
      <c r="S28" s="1">
        <f t="shared" si="41"/>
        <v>98.064716623395</v>
      </c>
      <c r="T28" s="1">
        <f t="shared" si="41"/>
        <v>67.341849750102526</v>
      </c>
      <c r="U28" s="1">
        <f t="shared" si="41"/>
        <v>67.172192332459531</v>
      </c>
      <c r="V28" s="1">
        <f t="shared" si="41"/>
        <v>86.007301279604505</v>
      </c>
      <c r="W28" s="1">
        <f t="shared" si="41"/>
        <v>999.67189986606866</v>
      </c>
      <c r="X28" s="1">
        <f t="shared" si="41"/>
        <v>129.55667705356018</v>
      </c>
      <c r="Y28" s="1">
        <f t="shared" si="41"/>
        <v>12.102033768134351</v>
      </c>
      <c r="Z28" s="185">
        <f t="shared" si="41"/>
        <v>4.2744775973733038</v>
      </c>
      <c r="AA28" s="3">
        <f t="shared" si="32"/>
        <v>1000</v>
      </c>
      <c r="AB28" s="139">
        <f t="shared" si="29"/>
        <v>0.37979329202665996</v>
      </c>
      <c r="AC28" s="140">
        <f t="shared" si="29"/>
        <v>3.8899919390307387</v>
      </c>
      <c r="AD28" s="319">
        <f t="shared" si="33"/>
        <v>0.37979329202665996</v>
      </c>
      <c r="AE28" s="1">
        <f t="shared" si="11"/>
        <v>94.924423710679775</v>
      </c>
      <c r="AF28" s="188">
        <f t="shared" si="34"/>
        <v>0.99967189986606864</v>
      </c>
      <c r="AG28" s="1">
        <f t="shared" si="35"/>
        <v>0.18413427372560748</v>
      </c>
      <c r="AH28" s="159">
        <f t="shared" si="36"/>
        <v>999.66189986606753</v>
      </c>
      <c r="AI28" s="18">
        <f t="shared" si="37"/>
        <v>98.064716623396876</v>
      </c>
      <c r="AJ28" s="140">
        <f t="shared" si="38"/>
        <v>86.007301279607773</v>
      </c>
      <c r="AK28" s="2">
        <v>1</v>
      </c>
      <c r="AL28" s="2">
        <f t="shared" si="17"/>
        <v>94.924423710679775</v>
      </c>
      <c r="AM28" s="270">
        <v>48.37</v>
      </c>
      <c r="AO28" s="1">
        <f t="shared" si="18"/>
        <v>0.94648595954802328</v>
      </c>
      <c r="AP28" s="1">
        <f t="shared" si="12"/>
        <v>1.000477018333334</v>
      </c>
      <c r="CC28" s="1">
        <v>4.5</v>
      </c>
      <c r="CD28" s="1">
        <v>127</v>
      </c>
      <c r="CE28" s="1">
        <f t="shared" si="24"/>
        <v>10</v>
      </c>
      <c r="CF28" s="2">
        <f t="shared" si="23"/>
        <v>4.309487628236246</v>
      </c>
    </row>
    <row r="29" spans="1:86" ht="13.5" customHeight="1">
      <c r="A29" s="1">
        <v>4</v>
      </c>
      <c r="B29" s="154">
        <f t="shared" si="30"/>
        <v>1000</v>
      </c>
      <c r="C29" s="1">
        <f t="shared" si="25"/>
        <v>3.3518101202659398E-2</v>
      </c>
      <c r="D29" s="1">
        <f t="shared" si="25"/>
        <v>0.86843095319484898</v>
      </c>
      <c r="E29" s="1">
        <f t="shared" si="25"/>
        <v>73.978732166917439</v>
      </c>
      <c r="F29" s="1">
        <f t="shared" si="39"/>
        <v>20</v>
      </c>
      <c r="G29" s="1">
        <f t="shared" si="26"/>
        <v>999.78152330794921</v>
      </c>
      <c r="H29" s="1">
        <f t="shared" si="26"/>
        <v>66.876801827965565</v>
      </c>
      <c r="I29" s="1">
        <f t="shared" si="26"/>
        <v>179.00775356343715</v>
      </c>
      <c r="J29" s="154">
        <v>20</v>
      </c>
      <c r="K29" s="1">
        <f t="shared" si="27"/>
        <v>0.15421974313845854</v>
      </c>
      <c r="L29" s="154">
        <f t="shared" si="40"/>
        <v>3</v>
      </c>
      <c r="M29" s="1">
        <f t="shared" ref="M29:Z29" si="42">M84</f>
        <v>0.49114567878489984</v>
      </c>
      <c r="N29" s="1">
        <f t="shared" si="42"/>
        <v>600.12538722281965</v>
      </c>
      <c r="O29" s="1">
        <f t="shared" si="42"/>
        <v>0.99680559676581049</v>
      </c>
      <c r="P29" s="1">
        <f t="shared" si="42"/>
        <v>6.1081673515321055</v>
      </c>
      <c r="Q29" s="1">
        <f t="shared" si="42"/>
        <v>74.151714579105843</v>
      </c>
      <c r="R29" s="1">
        <f t="shared" si="42"/>
        <v>73.978732166917439</v>
      </c>
      <c r="S29" s="1">
        <f t="shared" si="42"/>
        <v>112.04467333569926</v>
      </c>
      <c r="T29" s="1">
        <f t="shared" si="42"/>
        <v>67.107992194251253</v>
      </c>
      <c r="U29" s="1">
        <f t="shared" si="42"/>
        <v>66.957510271629758</v>
      </c>
      <c r="V29" s="1">
        <f t="shared" si="42"/>
        <v>97.470590505404189</v>
      </c>
      <c r="W29" s="1">
        <f t="shared" si="42"/>
        <v>999.79152330794921</v>
      </c>
      <c r="X29" s="1">
        <f t="shared" si="42"/>
        <v>120.66516432957383</v>
      </c>
      <c r="Y29" s="1">
        <f t="shared" si="42"/>
        <v>13.659737789928252</v>
      </c>
      <c r="Z29" s="185">
        <f t="shared" si="42"/>
        <v>3.9428922182812451</v>
      </c>
      <c r="AA29" s="3">
        <f t="shared" si="32"/>
        <v>1000</v>
      </c>
      <c r="AB29" s="139">
        <f t="shared" si="29"/>
        <v>0.33294875628119347</v>
      </c>
      <c r="AC29" s="140">
        <f t="shared" si="29"/>
        <v>3.1582173093103334</v>
      </c>
      <c r="AD29" s="319">
        <f t="shared" si="33"/>
        <v>0.33294875628119347</v>
      </c>
      <c r="AE29" s="1">
        <f t="shared" si="11"/>
        <v>91.544637262709557</v>
      </c>
      <c r="AF29" s="188">
        <f t="shared" si="34"/>
        <v>0.99979152330794918</v>
      </c>
      <c r="AG29" s="1">
        <f t="shared" si="35"/>
        <v>0.20956104804566314</v>
      </c>
      <c r="AH29" s="159">
        <f t="shared" si="36"/>
        <v>999.78152330794944</v>
      </c>
      <c r="AI29" s="18">
        <f t="shared" si="37"/>
        <v>112.04467333569958</v>
      </c>
      <c r="AJ29" s="140">
        <f t="shared" si="38"/>
        <v>97.470590505407003</v>
      </c>
      <c r="AK29" s="2">
        <v>0</v>
      </c>
      <c r="AL29" s="2">
        <f t="shared" si="17"/>
        <v>91.544637262709557</v>
      </c>
      <c r="AM29" s="2"/>
      <c r="AO29" s="1">
        <f t="shared" si="18"/>
        <v>0.94355286481630429</v>
      </c>
      <c r="AP29" s="1">
        <f t="shared" si="12"/>
        <v>0</v>
      </c>
      <c r="AZ29" s="158"/>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8"/>
      <c r="CC29" s="1">
        <v>5</v>
      </c>
      <c r="CD29" s="1">
        <v>140</v>
      </c>
      <c r="CE29" s="1">
        <f t="shared" si="24"/>
        <v>10</v>
      </c>
      <c r="CF29" s="2">
        <f t="shared" si="23"/>
        <v>4.8512388566814453</v>
      </c>
    </row>
    <row r="30" spans="1:86" ht="13.5" customHeight="1">
      <c r="A30" s="1">
        <v>5</v>
      </c>
      <c r="B30" s="154">
        <f t="shared" si="30"/>
        <v>1000</v>
      </c>
      <c r="C30" s="1">
        <f t="shared" si="25"/>
        <v>3.1574739994475784E-2</v>
      </c>
      <c r="D30" s="1">
        <f t="shared" si="25"/>
        <v>0.8607683633910207</v>
      </c>
      <c r="E30" s="1">
        <f t="shared" si="25"/>
        <v>74.151714579105843</v>
      </c>
      <c r="F30" s="1">
        <f t="shared" si="39"/>
        <v>20</v>
      </c>
      <c r="G30" s="1">
        <f t="shared" si="26"/>
        <v>999.86004380852353</v>
      </c>
      <c r="H30" s="1">
        <f t="shared" si="26"/>
        <v>66.612082733074601</v>
      </c>
      <c r="I30" s="1">
        <f t="shared" si="26"/>
        <v>190.02531773974198</v>
      </c>
      <c r="J30" s="154">
        <v>22.360679774997898</v>
      </c>
      <c r="K30" s="1">
        <f t="shared" si="27"/>
        <v>0.18579448313293434</v>
      </c>
      <c r="L30" s="154">
        <f t="shared" si="40"/>
        <v>3</v>
      </c>
      <c r="M30" s="1">
        <f t="shared" ref="M30:Z30" si="43">M85</f>
        <v>0.47336174046607465</v>
      </c>
      <c r="N30" s="1">
        <f t="shared" si="43"/>
        <v>486.84723969704379</v>
      </c>
      <c r="O30" s="1">
        <f t="shared" si="43"/>
        <v>0.99706356912522653</v>
      </c>
      <c r="P30" s="1">
        <f t="shared" si="43"/>
        <v>6.3376478146421018</v>
      </c>
      <c r="Q30" s="1">
        <f t="shared" si="43"/>
        <v>74.311195650860896</v>
      </c>
      <c r="R30" s="1">
        <f t="shared" si="43"/>
        <v>74.151714579105843</v>
      </c>
      <c r="S30" s="1">
        <f t="shared" si="43"/>
        <v>124.44895384410714</v>
      </c>
      <c r="T30" s="1">
        <f t="shared" si="43"/>
        <v>66.898806780907648</v>
      </c>
      <c r="U30" s="1">
        <f t="shared" si="43"/>
        <v>66.761091676686164</v>
      </c>
      <c r="V30" s="1">
        <f t="shared" si="43"/>
        <v>107.46416775540753</v>
      </c>
      <c r="W30" s="1">
        <f t="shared" si="43"/>
        <v>999.87004380852352</v>
      </c>
      <c r="X30" s="1">
        <f t="shared" si="43"/>
        <v>113.66906398011282</v>
      </c>
      <c r="Y30" s="1">
        <f t="shared" si="43"/>
        <v>14.859988564373891</v>
      </c>
      <c r="Z30" s="185">
        <f t="shared" si="43"/>
        <v>3.6863716677326157</v>
      </c>
      <c r="AA30" s="3">
        <f t="shared" si="32"/>
        <v>1000</v>
      </c>
      <c r="AB30" s="139">
        <f t="shared" si="29"/>
        <v>0.30071127761540628</v>
      </c>
      <c r="AC30" s="140">
        <f t="shared" si="29"/>
        <v>2.8279184492682972</v>
      </c>
      <c r="AD30" s="319">
        <f t="shared" si="33"/>
        <v>0.30071127761540628</v>
      </c>
      <c r="AE30" s="1" t="s">
        <v>323</v>
      </c>
      <c r="AF30" s="188">
        <f t="shared" si="34"/>
        <v>0.99987004380852351</v>
      </c>
      <c r="AG30" s="1">
        <f t="shared" si="35"/>
        <v>0.23194558382005592</v>
      </c>
      <c r="AH30" s="159">
        <f t="shared" si="36"/>
        <v>999.86004380852489</v>
      </c>
      <c r="AI30" s="18">
        <f t="shared" si="37"/>
        <v>124.44895384410921</v>
      </c>
      <c r="AJ30" s="140">
        <f t="shared" si="38"/>
        <v>107.4641677554016</v>
      </c>
      <c r="AK30" s="2"/>
      <c r="AL30" s="2" t="str">
        <f t="shared" ref="AL30:AL65" si="44">AE30</f>
        <v>stoup.</v>
      </c>
      <c r="AM30" s="2"/>
      <c r="AP30" s="1">
        <f t="shared" si="12"/>
        <v>0</v>
      </c>
      <c r="AZ30" s="139"/>
      <c r="BA30" s="176" t="s">
        <v>56</v>
      </c>
      <c r="BB30" s="18"/>
      <c r="BC30" s="175"/>
      <c r="BD30" s="18"/>
      <c r="BE30" s="18"/>
      <c r="BF30" s="18"/>
      <c r="BG30" s="18"/>
      <c r="BH30" s="18"/>
      <c r="BI30" s="18"/>
      <c r="BJ30" s="18"/>
      <c r="BK30" s="18"/>
      <c r="BL30" s="18"/>
      <c r="BM30" s="183" t="s">
        <v>375</v>
      </c>
      <c r="BN30" s="18"/>
      <c r="BO30" s="18"/>
      <c r="BP30" s="18"/>
      <c r="BQ30" s="18"/>
      <c r="BR30" s="18"/>
      <c r="BS30" s="18"/>
      <c r="BT30" s="18"/>
      <c r="BU30" s="18"/>
      <c r="BV30" s="18"/>
      <c r="BW30" s="140"/>
    </row>
    <row r="31" spans="1:86" ht="13.5" customHeight="1">
      <c r="A31" s="1">
        <v>6</v>
      </c>
      <c r="B31" s="154">
        <f t="shared" si="30"/>
        <v>1000</v>
      </c>
      <c r="C31" s="1">
        <f t="shared" si="25"/>
        <v>2.9970498471220935E-2</v>
      </c>
      <c r="D31" s="1">
        <f t="shared" si="25"/>
        <v>0.85373856431673878</v>
      </c>
      <c r="E31" s="1">
        <f t="shared" si="25"/>
        <v>74.311195650860896</v>
      </c>
      <c r="F31" s="1">
        <f t="shared" si="39"/>
        <v>20</v>
      </c>
      <c r="G31" s="1">
        <f t="shared" si="26"/>
        <v>999.91354745628939</v>
      </c>
      <c r="H31" s="1">
        <f t="shared" si="26"/>
        <v>66.367562201291491</v>
      </c>
      <c r="I31" s="1">
        <f t="shared" si="26"/>
        <v>200.19687045784303</v>
      </c>
      <c r="J31" s="154">
        <v>24.494897427831781</v>
      </c>
      <c r="K31" s="1">
        <f t="shared" si="27"/>
        <v>0.21576498160415528</v>
      </c>
      <c r="L31" s="154">
        <f t="shared" si="40"/>
        <v>3</v>
      </c>
      <c r="M31" s="1">
        <f t="shared" ref="M31:Z31" si="45">M86</f>
        <v>0.45809974862877978</v>
      </c>
      <c r="N31" s="1">
        <f t="shared" si="45"/>
        <v>408.38148915535953</v>
      </c>
      <c r="O31" s="1">
        <f t="shared" si="45"/>
        <v>0.9972496688858169</v>
      </c>
      <c r="P31" s="1">
        <f t="shared" si="45"/>
        <v>6.5487920676224691</v>
      </c>
      <c r="Q31" s="1">
        <f t="shared" si="45"/>
        <v>74.460981382466031</v>
      </c>
      <c r="R31" s="1">
        <f t="shared" si="45"/>
        <v>74.311195650860896</v>
      </c>
      <c r="S31" s="1">
        <f t="shared" si="45"/>
        <v>135.73776562226419</v>
      </c>
      <c r="T31" s="1">
        <f t="shared" si="45"/>
        <v>66.706429078274653</v>
      </c>
      <c r="U31" s="1">
        <f t="shared" si="45"/>
        <v>66.577970933148293</v>
      </c>
      <c r="V31" s="1">
        <f t="shared" si="45"/>
        <v>116.41043114439518</v>
      </c>
      <c r="W31" s="1">
        <f t="shared" si="45"/>
        <v>999.92354745628938</v>
      </c>
      <c r="X31" s="1">
        <f t="shared" si="45"/>
        <v>107.89379449639537</v>
      </c>
      <c r="Y31" s="1">
        <f t="shared" si="45"/>
        <v>15.833683043767978</v>
      </c>
      <c r="Z31" s="185">
        <f t="shared" si="45"/>
        <v>3.4879753816906232</v>
      </c>
      <c r="AA31" s="3">
        <f t="shared" si="32"/>
        <v>1000</v>
      </c>
      <c r="AB31" s="139">
        <f t="shared" si="29"/>
        <v>0.27651720797339169</v>
      </c>
      <c r="AC31" s="140">
        <f t="shared" si="29"/>
        <v>2.6312096646890586</v>
      </c>
      <c r="AD31" s="319">
        <f t="shared" si="33"/>
        <v>0.27651720797339169</v>
      </c>
      <c r="AE31" s="2">
        <f t="shared" ref="AE31:AE40" si="46">E26</f>
        <v>73.238673686621667</v>
      </c>
      <c r="AF31" s="188">
        <f t="shared" si="34"/>
        <v>0.99992354745628942</v>
      </c>
      <c r="AG31" s="1">
        <f t="shared" si="35"/>
        <v>0.25216999750439112</v>
      </c>
      <c r="AH31" s="159">
        <f t="shared" si="36"/>
        <v>999.91354745628917</v>
      </c>
      <c r="AI31" s="18">
        <f t="shared" si="37"/>
        <v>135.73776562225714</v>
      </c>
      <c r="AJ31" s="140">
        <f t="shared" si="38"/>
        <v>116.41043114438969</v>
      </c>
      <c r="AK31" s="2">
        <v>9</v>
      </c>
      <c r="AL31" s="2">
        <f t="shared" si="44"/>
        <v>73.238673686621667</v>
      </c>
      <c r="AM31" s="270">
        <v>83.522999999999996</v>
      </c>
      <c r="AN31" s="295">
        <v>9</v>
      </c>
      <c r="AO31" s="295">
        <v>83.522999999999996</v>
      </c>
      <c r="AZ31" s="139"/>
      <c r="BA31" s="18"/>
      <c r="BB31" s="18"/>
      <c r="BC31" s="18"/>
      <c r="BD31" s="18"/>
      <c r="BE31" s="18"/>
      <c r="BF31" s="18"/>
      <c r="BG31" s="18"/>
      <c r="BH31" s="18"/>
      <c r="BI31" s="18" t="s">
        <v>377</v>
      </c>
      <c r="BJ31" s="18"/>
      <c r="BK31" s="18"/>
      <c r="BL31" s="18"/>
      <c r="BM31" s="18"/>
      <c r="BN31" s="18"/>
      <c r="BO31" s="18"/>
      <c r="BP31" s="18"/>
      <c r="BQ31" s="18"/>
      <c r="BR31" s="18"/>
      <c r="BS31" s="18"/>
      <c r="BT31" s="18"/>
      <c r="BU31" s="18"/>
      <c r="BV31" s="18"/>
      <c r="BW31" s="140"/>
    </row>
    <row r="32" spans="1:86" ht="13.5" customHeight="1">
      <c r="A32" s="1">
        <v>7</v>
      </c>
      <c r="B32" s="154">
        <f t="shared" si="30"/>
        <v>1000</v>
      </c>
      <c r="C32" s="1">
        <f t="shared" si="25"/>
        <v>2.8604932340102574E-2</v>
      </c>
      <c r="D32" s="1">
        <f t="shared" si="25"/>
        <v>0.84717203344798853</v>
      </c>
      <c r="E32" s="1">
        <f t="shared" si="25"/>
        <v>74.460981382466031</v>
      </c>
      <c r="F32" s="1">
        <f t="shared" si="39"/>
        <v>20</v>
      </c>
      <c r="G32" s="1">
        <f t="shared" si="26"/>
        <v>999.95052543417137</v>
      </c>
      <c r="H32" s="1">
        <f t="shared" si="26"/>
        <v>66.137820341356786</v>
      </c>
      <c r="I32" s="1">
        <f t="shared" si="26"/>
        <v>209.75403572580115</v>
      </c>
      <c r="J32" s="154">
        <v>26.457513110645905</v>
      </c>
      <c r="K32" s="1">
        <f t="shared" si="27"/>
        <v>0.24436991394425786</v>
      </c>
      <c r="L32" s="154">
        <f t="shared" si="40"/>
        <v>3</v>
      </c>
      <c r="M32" s="1">
        <f t="shared" ref="M32:Z32" si="47">M87</f>
        <v>0.44471321918882234</v>
      </c>
      <c r="N32" s="1">
        <f t="shared" si="47"/>
        <v>350.73928377680363</v>
      </c>
      <c r="O32" s="1">
        <f t="shared" si="47"/>
        <v>0.99739154237949279</v>
      </c>
      <c r="P32" s="1">
        <f t="shared" si="47"/>
        <v>6.7459204506493871</v>
      </c>
      <c r="Q32" s="1">
        <f t="shared" si="47"/>
        <v>74.603412068782546</v>
      </c>
      <c r="R32" s="1">
        <f t="shared" si="47"/>
        <v>74.460981382466031</v>
      </c>
      <c r="S32" s="1">
        <f t="shared" si="47"/>
        <v>146.18425314438718</v>
      </c>
      <c r="T32" s="1">
        <f t="shared" si="47"/>
        <v>66.526448723664984</v>
      </c>
      <c r="U32" s="1">
        <f t="shared" si="47"/>
        <v>66.405086453936605</v>
      </c>
      <c r="V32" s="1">
        <f t="shared" si="47"/>
        <v>124.56060712033886</v>
      </c>
      <c r="W32" s="1">
        <f t="shared" si="47"/>
        <v>999.96052543417136</v>
      </c>
      <c r="X32" s="1">
        <f t="shared" si="47"/>
        <v>102.97775642436926</v>
      </c>
      <c r="Y32" s="1">
        <f t="shared" si="47"/>
        <v>16.650446022078697</v>
      </c>
      <c r="Z32" s="185">
        <f t="shared" si="47"/>
        <v>3.4006853714834486</v>
      </c>
      <c r="AA32" s="3">
        <f t="shared" si="32"/>
        <v>1000</v>
      </c>
      <c r="AB32" s="139">
        <f t="shared" si="29"/>
        <v>0.25736362170150373</v>
      </c>
      <c r="AC32" s="140">
        <f t="shared" si="29"/>
        <v>2.4628646450037932</v>
      </c>
      <c r="AD32" s="319">
        <f t="shared" si="33"/>
        <v>0.25736362170150373</v>
      </c>
      <c r="AE32" s="2">
        <f t="shared" si="46"/>
        <v>73.555916002360917</v>
      </c>
      <c r="AF32" s="188">
        <f t="shared" si="34"/>
        <v>0.99996052543417135</v>
      </c>
      <c r="AG32" s="1">
        <f t="shared" si="35"/>
        <v>0.27075825591188185</v>
      </c>
      <c r="AH32" s="159">
        <f t="shared" si="36"/>
        <v>999.95052543417216</v>
      </c>
      <c r="AI32" s="18">
        <f t="shared" si="37"/>
        <v>146.18425314439185</v>
      </c>
      <c r="AJ32" s="140">
        <f t="shared" si="38"/>
        <v>124.56060712033654</v>
      </c>
      <c r="AK32" s="2">
        <v>8</v>
      </c>
      <c r="AL32" s="2">
        <f t="shared" si="44"/>
        <v>73.555916002360917</v>
      </c>
      <c r="AM32" s="270">
        <v>84.804000000000002</v>
      </c>
      <c r="AN32" s="295">
        <v>8</v>
      </c>
      <c r="AO32" s="295">
        <v>84.804000000000002</v>
      </c>
      <c r="AZ32" s="179"/>
      <c r="BA32" s="180"/>
      <c r="BB32" s="180"/>
      <c r="BC32" s="180"/>
      <c r="BD32" s="180"/>
      <c r="BE32" s="181">
        <v>26400</v>
      </c>
      <c r="BF32" s="180" t="s">
        <v>374</v>
      </c>
      <c r="BG32" s="180"/>
      <c r="BH32" s="180"/>
      <c r="BI32" s="180">
        <v>26500</v>
      </c>
      <c r="BJ32" s="180"/>
      <c r="BK32" s="180"/>
      <c r="BL32" s="180"/>
      <c r="BM32" s="180" t="s">
        <v>376</v>
      </c>
      <c r="BN32" s="180"/>
      <c r="BO32" s="180"/>
      <c r="BP32" s="180"/>
      <c r="BQ32" s="180"/>
      <c r="BR32" s="180"/>
      <c r="BS32" s="180"/>
      <c r="BT32" s="180"/>
      <c r="BU32" s="18"/>
      <c r="BV32" s="18"/>
      <c r="BW32" s="140"/>
      <c r="CB32" s="2"/>
      <c r="CH32" s="1" t="s">
        <v>148</v>
      </c>
    </row>
    <row r="33" spans="1:258" ht="13.5" customHeight="1">
      <c r="A33" s="1">
        <v>8</v>
      </c>
      <c r="B33" s="154">
        <f t="shared" si="30"/>
        <v>1000</v>
      </c>
      <c r="C33" s="1">
        <f t="shared" si="25"/>
        <v>2.7417321388076121E-2</v>
      </c>
      <c r="D33" s="1">
        <f t="shared" si="25"/>
        <v>0.84096398171330711</v>
      </c>
      <c r="E33" s="1">
        <f t="shared" si="25"/>
        <v>74.603412068782546</v>
      </c>
      <c r="F33" s="1">
        <f t="shared" si="39"/>
        <v>20</v>
      </c>
      <c r="G33" s="1">
        <f t="shared" si="26"/>
        <v>999.9760282924658</v>
      </c>
      <c r="H33" s="1">
        <f t="shared" si="26"/>
        <v>65.919502828495808</v>
      </c>
      <c r="I33" s="1">
        <f t="shared" si="26"/>
        <v>218.8397588179208</v>
      </c>
      <c r="J33" s="154">
        <v>28.284271247461902</v>
      </c>
      <c r="K33" s="1">
        <f t="shared" si="27"/>
        <v>0.27178723533233395</v>
      </c>
      <c r="L33" s="154">
        <f t="shared" si="40"/>
        <v>3</v>
      </c>
      <c r="M33" s="1">
        <f t="shared" ref="M33:Z33" si="48">M88</f>
        <v>0.43278222186677373</v>
      </c>
      <c r="N33" s="1">
        <f t="shared" si="48"/>
        <v>306.58159350586834</v>
      </c>
      <c r="O33" s="1">
        <f t="shared" si="48"/>
        <v>0.99750398542718099</v>
      </c>
      <c r="P33" s="1">
        <f t="shared" si="48"/>
        <v>6.9318928745726307</v>
      </c>
      <c r="Q33" s="1">
        <f t="shared" si="48"/>
        <v>74.740044016364152</v>
      </c>
      <c r="R33" s="1">
        <f t="shared" si="48"/>
        <v>74.603412068782546</v>
      </c>
      <c r="S33" s="1">
        <f t="shared" si="48"/>
        <v>155.96624102335537</v>
      </c>
      <c r="T33" s="1">
        <f t="shared" si="48"/>
        <v>66.356101804958456</v>
      </c>
      <c r="U33" s="1">
        <f t="shared" si="48"/>
        <v>66.240396299314199</v>
      </c>
      <c r="V33" s="1">
        <f t="shared" si="48"/>
        <v>132.07857386548676</v>
      </c>
      <c r="W33" s="1">
        <f t="shared" si="48"/>
        <v>999.98602829246579</v>
      </c>
      <c r="X33" s="1">
        <f t="shared" si="48"/>
        <v>98.702356997074034</v>
      </c>
      <c r="Y33" s="1">
        <f t="shared" si="48"/>
        <v>17.351924589632304</v>
      </c>
      <c r="Z33" s="185">
        <f t="shared" si="48"/>
        <v>3.3240303540691301</v>
      </c>
      <c r="AA33" s="3">
        <f t="shared" si="32"/>
        <v>1000</v>
      </c>
      <c r="AB33" s="139">
        <f t="shared" si="29"/>
        <v>0.24164085711599656</v>
      </c>
      <c r="AC33" s="140">
        <f t="shared" si="29"/>
        <v>2.3150299685618938</v>
      </c>
      <c r="AD33" s="319">
        <f t="shared" si="33"/>
        <v>0.24164085711599656</v>
      </c>
      <c r="AE33" s="2">
        <f t="shared" si="46"/>
        <v>73.785290373759324</v>
      </c>
      <c r="AF33" s="188">
        <f t="shared" si="34"/>
        <v>0.99998602829246575</v>
      </c>
      <c r="AG33" s="1">
        <f t="shared" si="35"/>
        <v>0.28805171998042817</v>
      </c>
      <c r="AH33" s="159">
        <f t="shared" si="36"/>
        <v>999.97602829246682</v>
      </c>
      <c r="AI33" s="18">
        <f t="shared" si="37"/>
        <v>155.96624102336318</v>
      </c>
      <c r="AJ33" s="140">
        <f t="shared" si="38"/>
        <v>132.07857386548631</v>
      </c>
      <c r="AK33" s="2">
        <v>7</v>
      </c>
      <c r="AL33" s="2">
        <f t="shared" si="44"/>
        <v>73.785290373759324</v>
      </c>
      <c r="AM33" s="270">
        <v>85.536000000000001</v>
      </c>
      <c r="AN33" s="295">
        <v>7</v>
      </c>
      <c r="AO33" s="295">
        <v>85.536000000000001</v>
      </c>
      <c r="AZ33" s="179"/>
      <c r="BA33" s="180"/>
      <c r="BB33" s="180"/>
      <c r="BC33" s="180"/>
      <c r="BD33" s="180"/>
      <c r="BE33" s="181">
        <v>1.27</v>
      </c>
      <c r="BF33" s="180" t="s">
        <v>372</v>
      </c>
      <c r="BG33" s="180"/>
      <c r="BH33" s="180"/>
      <c r="BI33" s="180">
        <v>1.27</v>
      </c>
      <c r="BJ33" s="180"/>
      <c r="BK33" s="180"/>
      <c r="BL33" s="180"/>
      <c r="BM33" s="180"/>
      <c r="BN33" s="180"/>
      <c r="BO33" s="180"/>
      <c r="BP33" s="180"/>
      <c r="BQ33" s="180"/>
      <c r="BR33" s="180"/>
      <c r="BS33" s="180"/>
      <c r="BT33" s="180"/>
      <c r="BU33" s="18"/>
      <c r="BV33" s="18"/>
      <c r="BW33" s="140"/>
      <c r="CD33" s="4" t="s">
        <v>6</v>
      </c>
      <c r="CE33" s="6" t="s">
        <v>5</v>
      </c>
      <c r="CF33" s="7" t="s">
        <v>5</v>
      </c>
    </row>
    <row r="34" spans="1:258" ht="13.5" customHeight="1" thickBot="1">
      <c r="A34" s="1">
        <v>9</v>
      </c>
      <c r="B34" s="154">
        <f t="shared" si="30"/>
        <v>1000</v>
      </c>
      <c r="C34" s="1">
        <f t="shared" si="25"/>
        <v>2.6367895475188825E-2</v>
      </c>
      <c r="D34" s="1">
        <f t="shared" si="25"/>
        <v>0.83504435216398176</v>
      </c>
      <c r="E34" s="1">
        <f t="shared" si="25"/>
        <v>74.740044016364152</v>
      </c>
      <c r="F34" s="1">
        <f t="shared" si="39"/>
        <v>20</v>
      </c>
      <c r="G34" s="1">
        <f t="shared" si="26"/>
        <v>999.99330147281717</v>
      </c>
      <c r="H34" s="1">
        <f t="shared" si="26"/>
        <v>65.710364593072654</v>
      </c>
      <c r="I34" s="1">
        <f t="shared" si="26"/>
        <v>227.54944571309338</v>
      </c>
      <c r="J34" s="154">
        <v>30</v>
      </c>
      <c r="K34" s="1">
        <f t="shared" si="27"/>
        <v>0.29815513080752276</v>
      </c>
      <c r="L34" s="154">
        <f t="shared" si="40"/>
        <v>3</v>
      </c>
      <c r="M34" s="1">
        <f t="shared" ref="M34:Z34" si="49">M89</f>
        <v>0.42201717028665642</v>
      </c>
      <c r="N34" s="1">
        <f t="shared" si="49"/>
        <v>271.67227699250225</v>
      </c>
      <c r="O34" s="1">
        <f t="shared" si="49"/>
        <v>0.99759571085934495</v>
      </c>
      <c r="P34" s="1">
        <f t="shared" si="49"/>
        <v>7.1087155007514058</v>
      </c>
      <c r="Q34" s="1">
        <f t="shared" si="49"/>
        <v>74.871972103017754</v>
      </c>
      <c r="R34" s="1">
        <f t="shared" si="49"/>
        <v>74.740044016364152</v>
      </c>
      <c r="S34" s="1">
        <f t="shared" si="49"/>
        <v>165.20715092025466</v>
      </c>
      <c r="T34" s="1">
        <f t="shared" si="49"/>
        <v>66.193521973888835</v>
      </c>
      <c r="U34" s="1">
        <f t="shared" si="49"/>
        <v>66.082459390638405</v>
      </c>
      <c r="V34" s="1">
        <f t="shared" si="49"/>
        <v>139.07829195478558</v>
      </c>
      <c r="W34" s="1">
        <f t="shared" si="49"/>
        <v>1000.0033014728172</v>
      </c>
      <c r="X34" s="1">
        <f t="shared" si="49"/>
        <v>94.924423710679775</v>
      </c>
      <c r="Y34" s="1">
        <f t="shared" si="49"/>
        <v>17.96508777664404</v>
      </c>
      <c r="Z34" s="185">
        <f t="shared" si="49"/>
        <v>3.2554572328842899</v>
      </c>
      <c r="AA34" s="3">
        <f t="shared" si="32"/>
        <v>1000</v>
      </c>
      <c r="AB34" s="139">
        <f t="shared" si="29"/>
        <v>0.22839151592549575</v>
      </c>
      <c r="AC34" s="140">
        <f t="shared" si="29"/>
        <v>2.1827818062768447</v>
      </c>
      <c r="AD34" s="319">
        <f t="shared" si="33"/>
        <v>0.22839151592549575</v>
      </c>
      <c r="AE34" s="2">
        <f t="shared" si="46"/>
        <v>73.978732166917439</v>
      </c>
      <c r="AF34" s="188">
        <f t="shared" si="34"/>
        <v>1.0000033014728171</v>
      </c>
      <c r="AG34" s="1">
        <f t="shared" si="35"/>
        <v>0.30428748115300414</v>
      </c>
      <c r="AH34" s="159">
        <f t="shared" si="36"/>
        <v>999.99330147281682</v>
      </c>
      <c r="AI34" s="18">
        <f t="shared" si="37"/>
        <v>165.2071509202417</v>
      </c>
      <c r="AJ34" s="140">
        <f t="shared" si="38"/>
        <v>139.07829195478371</v>
      </c>
      <c r="AK34" s="2">
        <v>6</v>
      </c>
      <c r="AL34" s="2">
        <f t="shared" si="44"/>
        <v>73.978732166917439</v>
      </c>
      <c r="AM34" s="270">
        <v>86.206000000000003</v>
      </c>
      <c r="AN34" s="295">
        <v>6</v>
      </c>
      <c r="AO34" s="295">
        <v>86.206000000000003</v>
      </c>
      <c r="AZ34" s="139"/>
      <c r="BA34" s="18"/>
      <c r="BB34" s="28" t="s">
        <v>55</v>
      </c>
      <c r="BC34" s="28"/>
      <c r="BD34" s="28" t="s">
        <v>53</v>
      </c>
      <c r="BE34" s="181">
        <v>1.83</v>
      </c>
      <c r="BF34" s="180" t="s">
        <v>373</v>
      </c>
      <c r="BG34" s="180"/>
      <c r="BH34" s="180"/>
      <c r="BI34" s="180">
        <v>1.82</v>
      </c>
      <c r="BJ34" s="180"/>
      <c r="BK34" s="180"/>
      <c r="BL34" s="180"/>
      <c r="BM34" s="180"/>
      <c r="BN34" s="180"/>
      <c r="BO34" s="180"/>
      <c r="BP34" s="180"/>
      <c r="BQ34" s="180"/>
      <c r="BR34" s="180"/>
      <c r="BS34" s="180"/>
      <c r="BT34" s="180"/>
      <c r="BU34" s="18"/>
      <c r="BV34" s="18"/>
      <c r="BW34" s="140"/>
      <c r="CD34" s="8" t="s">
        <v>2</v>
      </c>
      <c r="CE34" s="9" t="s">
        <v>1</v>
      </c>
      <c r="CF34" s="10" t="s">
        <v>145</v>
      </c>
    </row>
    <row r="35" spans="1:258" ht="13.5" customHeight="1" thickBot="1">
      <c r="A35" s="1">
        <v>10</v>
      </c>
      <c r="B35" s="154">
        <f t="shared" si="30"/>
        <v>1000</v>
      </c>
      <c r="C35" s="1">
        <f t="shared" si="25"/>
        <v>2.542906590630821E-2</v>
      </c>
      <c r="D35" s="1">
        <f t="shared" si="25"/>
        <v>0.82936358936283328</v>
      </c>
      <c r="E35" s="1">
        <f t="shared" si="25"/>
        <v>74.871972103017754</v>
      </c>
      <c r="F35" s="1">
        <f t="shared" si="39"/>
        <v>20</v>
      </c>
      <c r="G35" s="1">
        <f t="shared" si="26"/>
        <v>1000.004545164959</v>
      </c>
      <c r="H35" s="1">
        <f t="shared" si="26"/>
        <v>65.508815738776065</v>
      </c>
      <c r="I35" s="1">
        <f t="shared" si="26"/>
        <v>235.95046794509173</v>
      </c>
      <c r="J35" s="154">
        <v>31.622776601683793</v>
      </c>
      <c r="K35" s="1">
        <f t="shared" si="27"/>
        <v>0.32358419671383098</v>
      </c>
      <c r="L35" s="154">
        <f t="shared" si="40"/>
        <v>3</v>
      </c>
      <c r="M35" s="1">
        <f t="shared" ref="M35:Z35" si="50">M90</f>
        <v>0.41220916778831973</v>
      </c>
      <c r="N35" s="1">
        <f t="shared" si="50"/>
        <v>243.38874299534839</v>
      </c>
      <c r="O35" s="1">
        <f t="shared" si="50"/>
        <v>0.99767222005486822</v>
      </c>
      <c r="P35" s="1">
        <f t="shared" si="50"/>
        <v>7.2778585107563138</v>
      </c>
      <c r="Q35" s="1">
        <f t="shared" si="50"/>
        <v>75</v>
      </c>
      <c r="R35" s="1">
        <f t="shared" si="50"/>
        <v>74.871972103017754</v>
      </c>
      <c r="S35" s="1">
        <f t="shared" si="50"/>
        <v>173.99677764823954</v>
      </c>
      <c r="T35" s="1">
        <f t="shared" si="50"/>
        <v>66.037379246496371</v>
      </c>
      <c r="U35" s="1">
        <f t="shared" si="50"/>
        <v>65.930214358359962</v>
      </c>
      <c r="V35" s="1">
        <f t="shared" si="50"/>
        <v>145.64282982291468</v>
      </c>
      <c r="W35" s="1">
        <f t="shared" si="50"/>
        <v>1000.014545164959</v>
      </c>
      <c r="X35" s="1">
        <f t="shared" si="50"/>
        <v>91.544637262709557</v>
      </c>
      <c r="Y35" s="1">
        <f t="shared" si="50"/>
        <v>18.508432330629045</v>
      </c>
      <c r="Z35" s="186">
        <f t="shared" si="50"/>
        <v>3.1932546532313548</v>
      </c>
      <c r="AA35" s="3">
        <f t="shared" si="32"/>
        <v>1000</v>
      </c>
      <c r="AB35" s="141">
        <f t="shared" si="29"/>
        <v>0.21700251143077734</v>
      </c>
      <c r="AC35" s="144">
        <f t="shared" si="29"/>
        <v>2.0628196883747556</v>
      </c>
      <c r="AD35" s="319">
        <f t="shared" si="33"/>
        <v>0.21700251143077734</v>
      </c>
      <c r="AE35" s="2">
        <f t="shared" si="46"/>
        <v>74.151714579105843</v>
      </c>
      <c r="AF35" s="189">
        <f t="shared" si="34"/>
        <v>1.0000145451649591</v>
      </c>
      <c r="AG35" s="1">
        <f t="shared" si="35"/>
        <v>0.3196381546630141</v>
      </c>
      <c r="AH35" s="160">
        <f t="shared" si="36"/>
        <v>1000.0045451649586</v>
      </c>
      <c r="AI35" s="143">
        <f t="shared" si="37"/>
        <v>173.99677764823716</v>
      </c>
      <c r="AJ35" s="144">
        <f t="shared" si="38"/>
        <v>145.64282982290041</v>
      </c>
      <c r="AK35" s="2">
        <v>5</v>
      </c>
      <c r="AL35" s="2">
        <f t="shared" si="44"/>
        <v>74.151714579105843</v>
      </c>
      <c r="AM35" s="270">
        <v>86.76</v>
      </c>
      <c r="AN35" s="295">
        <v>5</v>
      </c>
      <c r="AO35" s="295">
        <v>86.76</v>
      </c>
      <c r="AZ35" s="139"/>
      <c r="BA35" s="18"/>
      <c r="BB35" s="28" t="s">
        <v>15</v>
      </c>
      <c r="BC35" s="28" t="s">
        <v>4</v>
      </c>
      <c r="BD35" s="28" t="s">
        <v>371</v>
      </c>
      <c r="BE35" s="28" t="s">
        <v>370</v>
      </c>
      <c r="BF35" s="28" t="s">
        <v>66</v>
      </c>
      <c r="BG35" s="180"/>
      <c r="BH35" s="180"/>
      <c r="BI35" s="180"/>
      <c r="BJ35" s="180"/>
      <c r="BK35" s="180"/>
      <c r="BL35" s="180"/>
      <c r="BM35" s="180"/>
      <c r="BN35" s="180"/>
      <c r="BO35" s="180"/>
      <c r="BP35" s="180"/>
      <c r="BQ35" s="180"/>
      <c r="BR35" s="180"/>
      <c r="BS35" s="180"/>
      <c r="BT35" s="180"/>
      <c r="BU35" s="18"/>
      <c r="BV35" s="18"/>
      <c r="BW35" s="140"/>
      <c r="CC35" s="1">
        <v>1</v>
      </c>
      <c r="CD35" s="1">
        <v>73</v>
      </c>
      <c r="CE35" s="1">
        <v>100</v>
      </c>
      <c r="CF35" s="2">
        <f t="shared" ref="CF35:CF43" si="51">IF(LOG10(CE35/CD35/CD35)&lt;-3.003,3+(-3.003-LOG10(CE35/CD35/CD35))*$BF$6,3+(-3.003-LOG10(CE35/CD35/CD35))*$BF$7)</f>
        <v>-0.44615655534953857</v>
      </c>
    </row>
    <row r="36" spans="1:258" ht="13.5" customHeight="1">
      <c r="B36" s="2">
        <f>SUM(B70:B79)</f>
        <v>10000</v>
      </c>
      <c r="G36" s="2">
        <f>SUM(G26:G35)</f>
        <v>9997.65437307313</v>
      </c>
      <c r="K36" s="47"/>
      <c r="L36" s="47"/>
      <c r="M36" s="51">
        <v>15</v>
      </c>
      <c r="N36" s="1" t="s">
        <v>316</v>
      </c>
      <c r="P36" s="2"/>
      <c r="Q36" s="2"/>
      <c r="R36" s="49">
        <v>75</v>
      </c>
      <c r="S36" s="1" t="s">
        <v>1004</v>
      </c>
      <c r="T36" s="63"/>
      <c r="U36" s="68"/>
      <c r="V36" s="47"/>
      <c r="W36" s="62" t="s">
        <v>150</v>
      </c>
      <c r="X36" s="2">
        <f>SUM(X26:X35)</f>
        <v>1164.9031081697915</v>
      </c>
      <c r="Z36" s="64"/>
      <c r="AB36" s="66">
        <f>SUM(AB26:AB35)</f>
        <v>3.3734906840156369</v>
      </c>
      <c r="AC36" s="65" t="s">
        <v>1011</v>
      </c>
      <c r="AE36" s="2">
        <f t="shared" si="46"/>
        <v>74.311195650860896</v>
      </c>
      <c r="AH36" s="66">
        <f>SUM(AH26:AH35)</f>
        <v>9997.6543730731337</v>
      </c>
      <c r="AI36" s="66" t="s">
        <v>1007</v>
      </c>
      <c r="AK36" s="2">
        <v>4</v>
      </c>
      <c r="AL36" s="2">
        <f t="shared" si="44"/>
        <v>74.311195650860896</v>
      </c>
      <c r="AM36" s="270">
        <v>87.233000000000004</v>
      </c>
      <c r="AN36" s="295">
        <v>4</v>
      </c>
      <c r="AO36" s="295">
        <v>87.233000000000004</v>
      </c>
      <c r="AZ36" s="139" t="s">
        <v>52</v>
      </c>
      <c r="BA36" s="18"/>
      <c r="BB36" s="28">
        <v>0.3</v>
      </c>
      <c r="BC36" s="28">
        <v>16</v>
      </c>
      <c r="BD36" s="28">
        <v>84</v>
      </c>
      <c r="BE36" s="28">
        <f>$BE$32/BC36^$BE$33*BB36^$BE$34</f>
        <v>86.19924164192129</v>
      </c>
      <c r="BF36" s="180">
        <f>BE36/BD36</f>
        <v>1.0261814481181106</v>
      </c>
      <c r="BG36" s="180"/>
      <c r="BH36" s="180"/>
      <c r="BI36" s="180"/>
      <c r="BJ36" s="180"/>
      <c r="BK36" s="180"/>
      <c r="BL36" s="180"/>
      <c r="BM36" s="180"/>
      <c r="BN36" s="180"/>
      <c r="BO36" s="180"/>
      <c r="BP36" s="180"/>
      <c r="BQ36" s="180"/>
      <c r="BR36" s="180"/>
      <c r="BS36" s="180"/>
      <c r="BT36" s="180"/>
      <c r="BU36" s="18"/>
      <c r="BV36" s="18"/>
      <c r="BW36" s="140"/>
      <c r="CC36" s="1">
        <v>1.5</v>
      </c>
      <c r="CD36" s="1">
        <v>124</v>
      </c>
      <c r="CE36" s="1">
        <f>CE35</f>
        <v>100</v>
      </c>
      <c r="CF36" s="2">
        <f t="shared" si="51"/>
        <v>0.79637709987606931</v>
      </c>
    </row>
    <row r="37" spans="1:258" ht="13.5" customHeight="1">
      <c r="A37" s="49" t="s">
        <v>114</v>
      </c>
      <c r="B37" s="3"/>
      <c r="C37" s="3"/>
      <c r="D37" s="3"/>
      <c r="E37" s="3"/>
      <c r="G37" s="47">
        <f>SUM(N70:N79)</f>
        <v>2799.527214847812</v>
      </c>
      <c r="J37" s="63"/>
      <c r="K37" s="64"/>
      <c r="L37" s="64"/>
      <c r="M37" s="285">
        <f>N991</f>
        <v>18.995209816619742</v>
      </c>
      <c r="N37" s="288" t="s">
        <v>1006</v>
      </c>
      <c r="O37" s="289"/>
      <c r="P37" s="290"/>
      <c r="Q37" s="64"/>
      <c r="R37" s="285">
        <f>U91</f>
        <v>65.930214358359962</v>
      </c>
      <c r="S37" s="286" t="s">
        <v>1005</v>
      </c>
      <c r="T37" s="147"/>
      <c r="U37" s="287"/>
      <c r="V37" s="47"/>
      <c r="W37" s="2"/>
      <c r="Y37" s="3">
        <v>6</v>
      </c>
      <c r="Z37" s="46" t="s">
        <v>42</v>
      </c>
      <c r="AE37" s="2">
        <f t="shared" si="46"/>
        <v>74.460981382466031</v>
      </c>
      <c r="AH37" s="66">
        <f>SUM(AH26:AJ35)</f>
        <v>12326.325065110252</v>
      </c>
      <c r="AI37" s="66" t="s">
        <v>1008</v>
      </c>
      <c r="AK37" s="2">
        <v>3</v>
      </c>
      <c r="AL37" s="2">
        <f t="shared" si="44"/>
        <v>74.460981382466031</v>
      </c>
      <c r="AM37" s="270">
        <v>87.763999999999996</v>
      </c>
      <c r="AN37" s="295">
        <v>3</v>
      </c>
      <c r="AO37" s="295">
        <v>87.763999999999996</v>
      </c>
      <c r="AZ37" s="139"/>
      <c r="BA37" s="18"/>
      <c r="BB37" s="28">
        <v>0.6</v>
      </c>
      <c r="BC37" s="28">
        <v>16</v>
      </c>
      <c r="BD37" s="28">
        <v>288</v>
      </c>
      <c r="BE37" s="28">
        <f t="shared" ref="BE37:BE58" si="52">$BE$32/BC37^$BE$33*BB37^$BE$34</f>
        <v>306.47026022212157</v>
      </c>
      <c r="BF37" s="180">
        <f>BE37/BD37</f>
        <v>1.0641328479934777</v>
      </c>
      <c r="BG37" s="180"/>
      <c r="BH37" s="180"/>
      <c r="BI37" s="180"/>
      <c r="BJ37" s="180"/>
      <c r="BK37" s="180"/>
      <c r="BL37" s="180"/>
      <c r="BM37" s="180"/>
      <c r="BN37" s="180"/>
      <c r="BO37" s="180"/>
      <c r="BP37" s="180"/>
      <c r="BQ37" s="180"/>
      <c r="BR37" s="180"/>
      <c r="BS37" s="180"/>
      <c r="BT37" s="180"/>
      <c r="BU37" s="18"/>
      <c r="BV37" s="18"/>
      <c r="BW37" s="140"/>
      <c r="CC37" s="1">
        <v>2</v>
      </c>
      <c r="CD37" s="1">
        <v>174</v>
      </c>
      <c r="CE37" s="1">
        <f t="shared" ref="CE37:CE43" si="53">CE36</f>
        <v>100</v>
      </c>
      <c r="CF37" s="2">
        <f t="shared" si="51"/>
        <v>1.5908659407260382</v>
      </c>
    </row>
    <row r="38" spans="1:258" ht="13.5" customHeight="1">
      <c r="A38" s="2"/>
      <c r="B38" s="2" t="s">
        <v>301</v>
      </c>
      <c r="M38" s="148">
        <f>P92</f>
        <v>63.670713034585901</v>
      </c>
      <c r="N38" s="147" t="s">
        <v>43</v>
      </c>
      <c r="O38" s="291"/>
      <c r="P38" s="287"/>
      <c r="R38" s="148">
        <f>SUM(X81:X90)</f>
        <v>1164.9031081697915</v>
      </c>
      <c r="S38" s="147" t="s">
        <v>149</v>
      </c>
      <c r="T38" s="69"/>
      <c r="U38" s="149"/>
      <c r="V38" s="150"/>
      <c r="W38" s="151"/>
      <c r="AB38" s="66">
        <f>R38/1000/SQRT(M37/104)</f>
        <v>2.7257399919900576</v>
      </c>
      <c r="AC38" s="65" t="s">
        <v>1012</v>
      </c>
      <c r="AE38" s="2">
        <f t="shared" si="46"/>
        <v>74.603412068782546</v>
      </c>
      <c r="AK38" s="2">
        <v>2</v>
      </c>
      <c r="AL38" s="2">
        <f t="shared" si="44"/>
        <v>74.603412068782546</v>
      </c>
      <c r="AM38" s="270">
        <v>88.24</v>
      </c>
      <c r="AN38" s="295">
        <v>2</v>
      </c>
      <c r="AO38" s="295">
        <v>88.24</v>
      </c>
      <c r="AZ38" s="139"/>
      <c r="BA38" s="18"/>
      <c r="BB38" s="28">
        <v>1.2</v>
      </c>
      <c r="BC38" s="28">
        <v>16</v>
      </c>
      <c r="BD38" s="28">
        <v>1017</v>
      </c>
      <c r="BE38" s="28">
        <f t="shared" si="52"/>
        <v>1089.6153911745882</v>
      </c>
      <c r="BF38" s="180">
        <f>BE38/BD38</f>
        <v>1.0714015645767829</v>
      </c>
      <c r="BG38" s="180"/>
      <c r="BH38" s="180"/>
      <c r="BI38" s="180"/>
      <c r="BJ38" s="180"/>
      <c r="BK38" s="180"/>
      <c r="BL38" s="180"/>
      <c r="BM38" s="180"/>
      <c r="BN38" s="180"/>
      <c r="BO38" s="180"/>
      <c r="BP38" s="180"/>
      <c r="BQ38" s="180"/>
      <c r="BR38" s="180"/>
      <c r="BS38" s="180"/>
      <c r="BT38" s="180"/>
      <c r="BU38" s="18"/>
      <c r="BV38" s="18"/>
      <c r="BW38" s="140"/>
      <c r="CC38" s="1">
        <v>2.5</v>
      </c>
      <c r="CD38" s="1">
        <v>230</v>
      </c>
      <c r="CE38" s="1">
        <f t="shared" si="53"/>
        <v>100</v>
      </c>
      <c r="CF38" s="2">
        <f t="shared" si="51"/>
        <v>2.245230314495001</v>
      </c>
    </row>
    <row r="39" spans="1:258" ht="13.5" customHeight="1">
      <c r="A39" s="2"/>
      <c r="M39" s="292">
        <f>(R36-R37)*R38*4200/3600</f>
        <v>12326.325065110266</v>
      </c>
      <c r="N39" s="293" t="s">
        <v>1009</v>
      </c>
      <c r="O39" s="294"/>
      <c r="R39" s="148">
        <f>SUM(W81:W90)</f>
        <v>9997.7543730731304</v>
      </c>
      <c r="S39" s="291" t="s">
        <v>1010</v>
      </c>
      <c r="T39" s="291"/>
      <c r="U39" s="287"/>
      <c r="Z39" s="2"/>
      <c r="AE39" s="2">
        <f t="shared" si="46"/>
        <v>74.740044016364152</v>
      </c>
      <c r="AK39" s="2">
        <v>1</v>
      </c>
      <c r="AL39" s="2">
        <f t="shared" si="44"/>
        <v>74.740044016364152</v>
      </c>
      <c r="AM39" s="270">
        <v>88.674000000000007</v>
      </c>
      <c r="AN39" s="295">
        <v>1</v>
      </c>
      <c r="AO39" s="295">
        <v>88.674000000000007</v>
      </c>
      <c r="AZ39" s="139"/>
      <c r="BA39" s="18"/>
      <c r="BB39" s="28"/>
      <c r="BC39" s="28"/>
      <c r="BD39" s="28"/>
      <c r="BE39" s="28"/>
      <c r="BF39" s="180"/>
      <c r="BG39" s="180"/>
      <c r="BH39" s="180"/>
      <c r="BI39" s="180"/>
      <c r="BJ39" s="180"/>
      <c r="BK39" s="180"/>
      <c r="BL39" s="180"/>
      <c r="BM39" s="180"/>
      <c r="BN39" s="180"/>
      <c r="BO39" s="180"/>
      <c r="BP39" s="180"/>
      <c r="BQ39" s="180"/>
      <c r="BR39" s="180"/>
      <c r="BS39" s="180"/>
      <c r="BT39" s="180"/>
      <c r="BU39" s="18"/>
      <c r="BV39" s="18"/>
      <c r="BW39" s="140"/>
      <c r="CC39" s="1">
        <v>3</v>
      </c>
      <c r="CD39" s="1">
        <v>285</v>
      </c>
      <c r="CE39" s="1">
        <f t="shared" si="53"/>
        <v>100</v>
      </c>
      <c r="CF39" s="2">
        <f t="shared" si="51"/>
        <v>2.748062244045955</v>
      </c>
    </row>
    <row r="40" spans="1:258" ht="13.5" customHeight="1">
      <c r="AE40" s="2">
        <f t="shared" si="46"/>
        <v>74.871972103017754</v>
      </c>
      <c r="AK40" s="2">
        <v>0</v>
      </c>
      <c r="AL40" s="2">
        <f t="shared" si="44"/>
        <v>74.871972103017754</v>
      </c>
      <c r="AM40" s="2"/>
      <c r="AN40" s="295"/>
      <c r="AO40" s="295"/>
      <c r="AZ40" s="139" t="s">
        <v>51</v>
      </c>
      <c r="BA40" s="18"/>
      <c r="BB40" s="28">
        <v>0.3</v>
      </c>
      <c r="BC40" s="28">
        <v>25</v>
      </c>
      <c r="BD40" s="28">
        <v>49.2</v>
      </c>
      <c r="BE40" s="28">
        <f t="shared" si="52"/>
        <v>48.904859099658928</v>
      </c>
      <c r="BF40" s="180">
        <f>BE40/BD40</f>
        <v>0.99400120121257973</v>
      </c>
      <c r="BG40" s="180"/>
      <c r="BH40" s="180"/>
      <c r="BI40" s="180"/>
      <c r="BJ40" s="180"/>
      <c r="BK40" s="180"/>
      <c r="BL40" s="180"/>
      <c r="BM40" s="180"/>
      <c r="BN40" s="180"/>
      <c r="BO40" s="180"/>
      <c r="BP40" s="180"/>
      <c r="BQ40" s="180"/>
      <c r="BR40" s="180"/>
      <c r="BS40" s="180"/>
      <c r="BT40" s="180"/>
      <c r="BU40" s="18"/>
      <c r="BV40" s="18"/>
      <c r="BW40" s="140"/>
      <c r="CC40" s="1">
        <v>3.5</v>
      </c>
      <c r="CD40" s="1">
        <v>323</v>
      </c>
      <c r="CE40" s="1">
        <f t="shared" si="53"/>
        <v>100</v>
      </c>
      <c r="CF40" s="2">
        <f t="shared" si="51"/>
        <v>3.0985922858381172</v>
      </c>
    </row>
    <row r="41" spans="1:258" ht="13.5" customHeight="1">
      <c r="AE41" s="2">
        <f>R36</f>
        <v>75</v>
      </c>
      <c r="AK41" s="2"/>
      <c r="AL41" s="2">
        <f t="shared" si="44"/>
        <v>75</v>
      </c>
      <c r="AM41" s="2"/>
      <c r="AN41" s="295"/>
      <c r="AO41" s="295"/>
      <c r="AZ41" s="139"/>
      <c r="BA41" s="18"/>
      <c r="BB41" s="28">
        <v>0.6</v>
      </c>
      <c r="BC41" s="28">
        <v>25</v>
      </c>
      <c r="BD41" s="28">
        <v>173</v>
      </c>
      <c r="BE41" s="28">
        <f t="shared" si="52"/>
        <v>173.87490433685673</v>
      </c>
      <c r="BF41" s="180">
        <f>BE41/BD41</f>
        <v>1.0050572505020621</v>
      </c>
      <c r="BG41" s="180"/>
      <c r="BH41" s="180"/>
      <c r="BI41" s="180"/>
      <c r="BJ41" s="180"/>
      <c r="BK41" s="180"/>
      <c r="BL41" s="180"/>
      <c r="BM41" s="180"/>
      <c r="BN41" s="180"/>
      <c r="BO41" s="180"/>
      <c r="BP41" s="180"/>
      <c r="BQ41" s="180"/>
      <c r="BR41" s="180"/>
      <c r="BS41" s="180"/>
      <c r="BT41" s="180"/>
      <c r="BU41" s="18"/>
      <c r="BV41" s="18"/>
      <c r="BW41" s="140"/>
      <c r="CC41" s="1">
        <v>4</v>
      </c>
      <c r="CD41" s="1">
        <v>361</v>
      </c>
      <c r="CE41" s="1">
        <f t="shared" si="53"/>
        <v>100</v>
      </c>
      <c r="CF41" s="2">
        <f t="shared" si="51"/>
        <v>3.716892184392421</v>
      </c>
      <c r="IX41" s="11"/>
    </row>
    <row r="42" spans="1:258" ht="13.5" customHeight="1">
      <c r="AE42" s="1" t="s">
        <v>318</v>
      </c>
      <c r="AK42" s="2"/>
      <c r="AL42" s="2" t="str">
        <f t="shared" si="44"/>
        <v>zpat.</v>
      </c>
      <c r="AM42" s="2"/>
      <c r="AN42" s="295"/>
      <c r="AO42" s="295"/>
      <c r="AZ42" s="139"/>
      <c r="BA42" s="18"/>
      <c r="BB42" s="28">
        <v>1.2</v>
      </c>
      <c r="BC42" s="28">
        <v>25</v>
      </c>
      <c r="BD42" s="28">
        <v>625</v>
      </c>
      <c r="BE42" s="28">
        <f t="shared" si="52"/>
        <v>618.18974463341067</v>
      </c>
      <c r="BF42" s="180">
        <f>BE42/BD42</f>
        <v>0.98910359141345705</v>
      </c>
      <c r="BG42" s="180"/>
      <c r="BH42" s="180"/>
      <c r="BI42" s="180"/>
      <c r="BJ42" s="180"/>
      <c r="BK42" s="180"/>
      <c r="BL42" s="180"/>
      <c r="BM42" s="180"/>
      <c r="BN42" s="180"/>
      <c r="BO42" s="180"/>
      <c r="BP42" s="180"/>
      <c r="BQ42" s="180"/>
      <c r="BR42" s="180"/>
      <c r="BS42" s="180"/>
      <c r="BT42" s="180"/>
      <c r="BU42" s="18"/>
      <c r="BV42" s="18"/>
      <c r="BW42" s="140"/>
      <c r="CC42" s="1">
        <v>4.5</v>
      </c>
      <c r="CD42" s="1">
        <v>402</v>
      </c>
      <c r="CE42" s="1">
        <f t="shared" si="53"/>
        <v>100</v>
      </c>
      <c r="CF42" s="2">
        <f t="shared" si="51"/>
        <v>4.3148934794812162</v>
      </c>
      <c r="IX42" s="11"/>
    </row>
    <row r="43" spans="1:258" ht="13.5" customHeight="1">
      <c r="AE43" s="1">
        <f t="shared" ref="AE43:AE52" si="54">T26</f>
        <v>67.987844542219548</v>
      </c>
      <c r="AF43" s="66"/>
      <c r="AG43" s="2"/>
      <c r="AK43" s="2">
        <v>9</v>
      </c>
      <c r="AL43" s="2">
        <f>AE43</f>
        <v>67.987844542219548</v>
      </c>
      <c r="AM43" s="270">
        <v>75.007000000000005</v>
      </c>
      <c r="AN43" s="295"/>
      <c r="AO43" s="295"/>
      <c r="AZ43" s="139"/>
      <c r="BA43" s="18"/>
      <c r="BB43" s="28"/>
      <c r="BC43" s="28"/>
      <c r="BD43" s="28"/>
      <c r="BE43" s="28"/>
      <c r="BF43" s="180"/>
      <c r="BG43" s="180"/>
      <c r="BH43" s="180"/>
      <c r="BI43" s="180"/>
      <c r="BJ43" s="180"/>
      <c r="BK43" s="180"/>
      <c r="BL43" s="180"/>
      <c r="BM43" s="180"/>
      <c r="BN43" s="180"/>
      <c r="BO43" s="180"/>
      <c r="BP43" s="180"/>
      <c r="BQ43" s="180"/>
      <c r="BR43" s="180"/>
      <c r="BS43" s="180"/>
      <c r="BT43" s="180"/>
      <c r="BU43" s="18"/>
      <c r="BV43" s="18"/>
      <c r="BW43" s="140"/>
      <c r="CC43" s="1">
        <v>5</v>
      </c>
      <c r="CD43" s="1">
        <v>443</v>
      </c>
      <c r="CE43" s="1">
        <f t="shared" si="53"/>
        <v>100</v>
      </c>
      <c r="CF43" s="2">
        <f t="shared" si="51"/>
        <v>4.8547676956552888</v>
      </c>
    </row>
    <row r="44" spans="1:258" ht="13.5" customHeight="1">
      <c r="AD44" s="2"/>
      <c r="AE44" s="1">
        <f t="shared" si="54"/>
        <v>67.617262474317542</v>
      </c>
      <c r="AF44" s="2"/>
      <c r="AK44" s="2">
        <v>8</v>
      </c>
      <c r="AL44" s="2">
        <f t="shared" ref="AL44:AL52" si="55">AE44</f>
        <v>67.617262474317542</v>
      </c>
      <c r="AM44" s="270">
        <v>73.945999999999998</v>
      </c>
      <c r="AN44" s="295">
        <v>9</v>
      </c>
      <c r="AO44" s="296">
        <v>75.007000000000005</v>
      </c>
      <c r="AZ44" s="139" t="s">
        <v>50</v>
      </c>
      <c r="BA44" s="18"/>
      <c r="BB44" s="28">
        <v>0.3</v>
      </c>
      <c r="BC44" s="28">
        <v>20</v>
      </c>
      <c r="BD44" s="28">
        <v>65.2</v>
      </c>
      <c r="BE44" s="28">
        <f t="shared" si="52"/>
        <v>64.92735761599738</v>
      </c>
      <c r="BF44" s="180">
        <f>BE44/BD44</f>
        <v>0.995818368343518</v>
      </c>
      <c r="BG44" s="180"/>
      <c r="BH44" s="180"/>
      <c r="BI44" s="180"/>
      <c r="BJ44" s="180"/>
      <c r="BK44" s="180"/>
      <c r="BL44" s="180"/>
      <c r="BM44" s="180"/>
      <c r="BN44" s="180"/>
      <c r="BO44" s="180"/>
      <c r="BP44" s="180"/>
      <c r="BQ44" s="180"/>
      <c r="BR44" s="180"/>
      <c r="BS44" s="180"/>
      <c r="BT44" s="180"/>
      <c r="BU44" s="18"/>
      <c r="BV44" s="18"/>
      <c r="BW44" s="140"/>
    </row>
    <row r="45" spans="1:258" ht="13.5" customHeight="1">
      <c r="AD45" s="2"/>
      <c r="AE45" s="1">
        <f t="shared" si="54"/>
        <v>67.341849750102526</v>
      </c>
      <c r="AF45" s="2"/>
      <c r="AK45" s="2">
        <v>7</v>
      </c>
      <c r="AL45" s="2">
        <f t="shared" si="55"/>
        <v>67.341849750102526</v>
      </c>
      <c r="AM45" s="270">
        <v>73.350999999999999</v>
      </c>
      <c r="AN45" s="295">
        <v>8</v>
      </c>
      <c r="AO45" s="296">
        <v>73.945999999999998</v>
      </c>
      <c r="AZ45" s="139"/>
      <c r="BA45" s="18"/>
      <c r="BB45" s="28">
        <v>0.6</v>
      </c>
      <c r="BC45" s="28">
        <v>20</v>
      </c>
      <c r="BD45" s="28">
        <v>228</v>
      </c>
      <c r="BE45" s="28">
        <f t="shared" si="52"/>
        <v>230.84082649785537</v>
      </c>
      <c r="BF45" s="180">
        <f>BE45/BD45</f>
        <v>1.0124597653414709</v>
      </c>
      <c r="BG45" s="180"/>
      <c r="BH45" s="180"/>
      <c r="BI45" s="180"/>
      <c r="BJ45" s="180"/>
      <c r="BK45" s="180"/>
      <c r="BL45" s="180"/>
      <c r="BM45" s="180"/>
      <c r="BN45" s="180"/>
      <c r="BO45" s="180"/>
      <c r="BP45" s="180"/>
      <c r="BQ45" s="180"/>
      <c r="BR45" s="180"/>
      <c r="BS45" s="180"/>
      <c r="BT45" s="180"/>
      <c r="BU45" s="18"/>
      <c r="BV45" s="18"/>
      <c r="BW45" s="140"/>
    </row>
    <row r="46" spans="1:258" ht="13.5" customHeight="1">
      <c r="AD46" s="2"/>
      <c r="AE46" s="1">
        <f t="shared" si="54"/>
        <v>67.107992194251253</v>
      </c>
      <c r="AF46" s="2"/>
      <c r="AK46" s="2">
        <v>6</v>
      </c>
      <c r="AL46" s="2">
        <f t="shared" si="55"/>
        <v>67.107992194251253</v>
      </c>
      <c r="AM46" s="270">
        <v>72.819000000000003</v>
      </c>
      <c r="AN46" s="295">
        <v>7</v>
      </c>
      <c r="AO46" s="296">
        <v>73.350999999999999</v>
      </c>
      <c r="AZ46" s="139"/>
      <c r="BA46" s="18"/>
      <c r="BB46" s="28">
        <v>1.2</v>
      </c>
      <c r="BC46" s="28">
        <v>20</v>
      </c>
      <c r="BD46" s="28">
        <v>826</v>
      </c>
      <c r="BE46" s="28">
        <f t="shared" si="52"/>
        <v>820.7247165882435</v>
      </c>
      <c r="BF46" s="180">
        <f>BE46/BD46</f>
        <v>0.99361345833927783</v>
      </c>
      <c r="BG46" s="180"/>
      <c r="BH46" s="180"/>
      <c r="BI46" s="180"/>
      <c r="BJ46" s="180"/>
      <c r="BK46" s="180"/>
      <c r="BL46" s="180"/>
      <c r="BM46" s="180"/>
      <c r="BN46" s="180"/>
      <c r="BO46" s="180"/>
      <c r="BP46" s="180"/>
      <c r="BQ46" s="180"/>
      <c r="BR46" s="180"/>
      <c r="BS46" s="180"/>
      <c r="BT46" s="180"/>
      <c r="BU46" s="18"/>
      <c r="BV46" s="18"/>
      <c r="BW46" s="140"/>
    </row>
    <row r="47" spans="1:258" ht="13.5" customHeight="1">
      <c r="AD47" s="2"/>
      <c r="AE47" s="1">
        <f t="shared" si="54"/>
        <v>66.898806780907648</v>
      </c>
      <c r="AF47" s="2"/>
      <c r="AK47" s="2">
        <v>5</v>
      </c>
      <c r="AL47" s="2">
        <f t="shared" si="55"/>
        <v>66.898806780907648</v>
      </c>
      <c r="AM47" s="270">
        <v>72.385999999999996</v>
      </c>
      <c r="AN47" s="295">
        <v>6</v>
      </c>
      <c r="AO47" s="296">
        <v>72.819000000000003</v>
      </c>
      <c r="AZ47" s="139"/>
      <c r="BA47" s="18"/>
      <c r="BB47" s="28"/>
      <c r="BC47" s="28"/>
      <c r="BD47" s="28"/>
      <c r="BE47" s="28"/>
      <c r="BF47" s="180"/>
      <c r="BG47" s="180"/>
      <c r="BH47" s="180"/>
      <c r="BI47" s="180"/>
      <c r="BJ47" s="180"/>
      <c r="BK47" s="180"/>
      <c r="BL47" s="180"/>
      <c r="BM47" s="180"/>
      <c r="BN47" s="180"/>
      <c r="BO47" s="180"/>
      <c r="BP47" s="180"/>
      <c r="BQ47" s="180"/>
      <c r="BR47" s="180"/>
      <c r="BS47" s="180"/>
      <c r="BT47" s="180"/>
      <c r="BU47" s="18"/>
      <c r="BV47" s="18"/>
      <c r="BW47" s="140"/>
    </row>
    <row r="48" spans="1:258" ht="13.5" customHeight="1">
      <c r="AD48" s="2"/>
      <c r="AE48" s="1">
        <f t="shared" si="54"/>
        <v>66.706429078274653</v>
      </c>
      <c r="AF48" s="2"/>
      <c r="AK48" s="2">
        <v>4</v>
      </c>
      <c r="AL48" s="2">
        <f t="shared" si="55"/>
        <v>66.706429078274653</v>
      </c>
      <c r="AM48" s="270">
        <v>72.022000000000006</v>
      </c>
      <c r="AN48" s="295">
        <v>5</v>
      </c>
      <c r="AO48" s="296">
        <v>72.385999999999996</v>
      </c>
      <c r="AZ48" s="139" t="s">
        <v>49</v>
      </c>
      <c r="BA48" s="18"/>
      <c r="BB48" s="28">
        <v>0.3</v>
      </c>
      <c r="BC48" s="28">
        <v>16</v>
      </c>
      <c r="BD48" s="28">
        <v>86</v>
      </c>
      <c r="BE48" s="28">
        <f t="shared" si="52"/>
        <v>86.19924164192129</v>
      </c>
      <c r="BF48" s="180">
        <f>BE48/BD48</f>
        <v>1.0023167632781544</v>
      </c>
      <c r="BG48" s="180"/>
      <c r="BH48" s="180"/>
      <c r="BI48" s="180"/>
      <c r="BJ48" s="180"/>
      <c r="BK48" s="180"/>
      <c r="BL48" s="180"/>
      <c r="BM48" s="180"/>
      <c r="BN48" s="180"/>
      <c r="BO48" s="180"/>
      <c r="BP48" s="180"/>
      <c r="BQ48" s="180"/>
      <c r="BR48" s="180"/>
      <c r="BS48" s="180"/>
      <c r="BT48" s="180"/>
      <c r="BU48" s="18"/>
      <c r="BV48" s="18"/>
      <c r="BW48" s="140"/>
    </row>
    <row r="49" spans="1:86" ht="13.5" customHeight="1">
      <c r="AD49" s="2"/>
      <c r="AE49" s="1">
        <f t="shared" si="54"/>
        <v>66.526448723664984</v>
      </c>
      <c r="AF49" s="2"/>
      <c r="AK49" s="2">
        <v>3</v>
      </c>
      <c r="AL49" s="2">
        <f t="shared" si="55"/>
        <v>66.526448723664984</v>
      </c>
      <c r="AM49" s="270">
        <v>71.617000000000004</v>
      </c>
      <c r="AN49" s="295">
        <v>4</v>
      </c>
      <c r="AO49" s="296">
        <v>72.022000000000006</v>
      </c>
      <c r="AZ49" s="139"/>
      <c r="BA49" s="18"/>
      <c r="BB49" s="28">
        <v>0.6</v>
      </c>
      <c r="BC49" s="28">
        <v>16</v>
      </c>
      <c r="BD49" s="28">
        <v>303</v>
      </c>
      <c r="BE49" s="28">
        <f t="shared" si="52"/>
        <v>306.47026022212157</v>
      </c>
      <c r="BF49" s="180">
        <f>BE49/BD49</f>
        <v>1.0114530040334044</v>
      </c>
      <c r="BG49" s="180"/>
      <c r="BH49" s="180"/>
      <c r="BI49" s="180"/>
      <c r="BJ49" s="180"/>
      <c r="BK49" s="180"/>
      <c r="BL49" s="180"/>
      <c r="BM49" s="180"/>
      <c r="BN49" s="180"/>
      <c r="BO49" s="180"/>
      <c r="BP49" s="180"/>
      <c r="BQ49" s="180"/>
      <c r="BR49" s="180"/>
      <c r="BS49" s="180"/>
      <c r="BT49" s="180"/>
      <c r="BU49" s="18"/>
      <c r="BV49" s="18"/>
      <c r="BW49" s="140"/>
    </row>
    <row r="50" spans="1:86" ht="13.5" customHeight="1">
      <c r="B50" s="48" t="s">
        <v>1340</v>
      </c>
      <c r="AE50" s="1">
        <f t="shared" si="54"/>
        <v>66.356101804958456</v>
      </c>
      <c r="AF50" s="2"/>
      <c r="AK50" s="2">
        <v>2</v>
      </c>
      <c r="AL50" s="2">
        <f t="shared" si="55"/>
        <v>66.356101804958456</v>
      </c>
      <c r="AM50" s="270">
        <v>71.561000000000007</v>
      </c>
      <c r="AN50" s="295">
        <v>3</v>
      </c>
      <c r="AO50" s="296">
        <v>71.617000000000004</v>
      </c>
      <c r="AZ50" s="139"/>
      <c r="BA50" s="18"/>
      <c r="BB50" s="28">
        <v>1.2</v>
      </c>
      <c r="BC50" s="28">
        <v>16</v>
      </c>
      <c r="BD50" s="28">
        <v>1093</v>
      </c>
      <c r="BE50" s="28">
        <f t="shared" si="52"/>
        <v>1089.6153911745882</v>
      </c>
      <c r="BF50" s="180">
        <f>BE50/BD50</f>
        <v>0.9969033771039234</v>
      </c>
      <c r="BG50" s="180"/>
      <c r="BH50" s="180"/>
      <c r="BI50" s="180"/>
      <c r="BJ50" s="180"/>
      <c r="BK50" s="180"/>
      <c r="BL50" s="180"/>
      <c r="BM50" s="180"/>
      <c r="BN50" s="180"/>
      <c r="BO50" s="180"/>
      <c r="BP50" s="180"/>
      <c r="BQ50" s="180"/>
      <c r="BR50" s="180"/>
      <c r="BS50" s="180"/>
      <c r="BT50" s="180"/>
      <c r="BU50" s="18"/>
      <c r="BV50" s="18"/>
      <c r="BW50" s="140"/>
      <c r="CC50" s="61"/>
      <c r="CE50" s="48"/>
    </row>
    <row r="51" spans="1:86" ht="13.5" customHeight="1">
      <c r="C51" s="71" t="s">
        <v>152</v>
      </c>
      <c r="D51" s="71"/>
      <c r="E51" s="71"/>
      <c r="F51" s="61"/>
      <c r="P51" s="2"/>
      <c r="AE51" s="1">
        <f t="shared" si="54"/>
        <v>66.193521973888835</v>
      </c>
      <c r="AK51" s="2">
        <v>1</v>
      </c>
      <c r="AL51" s="2">
        <f t="shared" si="55"/>
        <v>66.193521973888835</v>
      </c>
      <c r="AM51" s="270">
        <v>70.944999999999993</v>
      </c>
      <c r="AN51" s="295">
        <v>2</v>
      </c>
      <c r="AO51" s="296">
        <v>71.561000000000007</v>
      </c>
      <c r="AP51" s="48" t="s">
        <v>597</v>
      </c>
      <c r="AZ51" s="139"/>
      <c r="BA51" s="18"/>
      <c r="BB51" s="28"/>
      <c r="BC51" s="28"/>
      <c r="BD51" s="28"/>
      <c r="BE51" s="28"/>
      <c r="BF51" s="180"/>
      <c r="BG51" s="180"/>
      <c r="BH51" s="180"/>
      <c r="BI51" s="180"/>
      <c r="BJ51" s="180"/>
      <c r="BK51" s="180"/>
      <c r="BL51" s="180"/>
      <c r="BM51" s="180"/>
      <c r="BN51" s="180"/>
      <c r="BO51" s="180"/>
      <c r="BP51" s="180"/>
      <c r="BQ51" s="180"/>
      <c r="BR51" s="180"/>
      <c r="BS51" s="180"/>
      <c r="BT51" s="180"/>
      <c r="BU51" s="18"/>
      <c r="BV51" s="18"/>
      <c r="BW51" s="140"/>
      <c r="CC51" s="61"/>
      <c r="CF51" s="47"/>
      <c r="CG51" s="47"/>
      <c r="CH51" s="47"/>
    </row>
    <row r="52" spans="1:86" ht="13.5" customHeight="1">
      <c r="C52" s="71"/>
      <c r="D52" s="71" t="s">
        <v>153</v>
      </c>
      <c r="E52" s="71" t="s">
        <v>154</v>
      </c>
      <c r="F52" s="190" t="s">
        <v>519</v>
      </c>
      <c r="G52" s="1" t="s">
        <v>520</v>
      </c>
      <c r="J52" s="2" t="s">
        <v>13</v>
      </c>
      <c r="K52" s="2" t="s">
        <v>151</v>
      </c>
      <c r="L52" s="2" t="s">
        <v>295</v>
      </c>
      <c r="M52" s="2" t="s">
        <v>294</v>
      </c>
      <c r="N52" s="2" t="s">
        <v>293</v>
      </c>
      <c r="U52" s="2" t="s">
        <v>13</v>
      </c>
      <c r="V52" s="2" t="s">
        <v>151</v>
      </c>
      <c r="W52" s="2" t="s">
        <v>295</v>
      </c>
      <c r="X52" s="2" t="s">
        <v>294</v>
      </c>
      <c r="Y52" s="2" t="s">
        <v>293</v>
      </c>
      <c r="AA52" s="2"/>
      <c r="AB52" s="1" t="s">
        <v>521</v>
      </c>
      <c r="AC52" s="1" t="s">
        <v>522</v>
      </c>
      <c r="AE52" s="1">
        <f t="shared" si="54"/>
        <v>66.037379246496371</v>
      </c>
      <c r="AK52" s="1">
        <v>0</v>
      </c>
      <c r="AL52" s="1">
        <f t="shared" si="55"/>
        <v>66.037379246496371</v>
      </c>
      <c r="AN52" s="295">
        <v>1</v>
      </c>
      <c r="AO52" s="296">
        <v>70.944999999999993</v>
      </c>
      <c r="AP52" s="1" t="s">
        <v>78</v>
      </c>
      <c r="AZ52" s="139" t="s">
        <v>48</v>
      </c>
      <c r="BA52" s="18"/>
      <c r="BB52" s="28">
        <v>0.3</v>
      </c>
      <c r="BC52" s="28">
        <v>13</v>
      </c>
      <c r="BD52" s="28">
        <v>113</v>
      </c>
      <c r="BE52" s="28">
        <f t="shared" si="52"/>
        <v>112.20901901565874</v>
      </c>
      <c r="BF52" s="180">
        <f>BE52/BD52</f>
        <v>0.9930001682801658</v>
      </c>
      <c r="BG52" s="180"/>
      <c r="BH52" s="180"/>
      <c r="BI52" s="180"/>
      <c r="BJ52" s="180"/>
      <c r="BK52" s="180"/>
      <c r="BL52" s="180"/>
      <c r="BM52" s="180"/>
      <c r="BN52" s="180"/>
      <c r="BO52" s="180"/>
      <c r="BP52" s="180"/>
      <c r="BQ52" s="180"/>
      <c r="BR52" s="180"/>
      <c r="BS52" s="180"/>
      <c r="BT52" s="180"/>
      <c r="BU52" s="18"/>
      <c r="BV52" s="18"/>
      <c r="BW52" s="140"/>
      <c r="CC52" s="61"/>
      <c r="CF52" s="47"/>
      <c r="CG52" s="47"/>
      <c r="CH52" s="47"/>
    </row>
    <row r="53" spans="1:86" ht="13.5" customHeight="1">
      <c r="C53" s="61"/>
      <c r="D53" s="61">
        <v>10</v>
      </c>
      <c r="E53" s="61">
        <v>1</v>
      </c>
      <c r="F53" s="61"/>
      <c r="J53" s="1">
        <v>1.65</v>
      </c>
      <c r="K53" s="1">
        <v>1</v>
      </c>
      <c r="L53" s="1">
        <v>600</v>
      </c>
      <c r="M53" s="1">
        <v>1000</v>
      </c>
      <c r="N53" s="1">
        <f>J53*K53*L53*M53/1000</f>
        <v>990</v>
      </c>
      <c r="U53" s="1">
        <v>1.65</v>
      </c>
      <c r="V53" s="1">
        <v>1</v>
      </c>
      <c r="W53" s="1">
        <v>600</v>
      </c>
      <c r="X53" s="1">
        <v>1000</v>
      </c>
      <c r="Y53" s="1">
        <f>U53*V53*W53*X53/1000</f>
        <v>990</v>
      </c>
      <c r="AA53" s="2"/>
      <c r="AE53" s="1">
        <f>R37</f>
        <v>65.930214358359962</v>
      </c>
      <c r="AL53" s="1" t="str">
        <f t="shared" ref="AL53" si="56">AE65</f>
        <v>m/s</v>
      </c>
      <c r="AP53" s="2"/>
      <c r="AQ53" s="11" t="s">
        <v>119</v>
      </c>
      <c r="AR53" s="11" t="s">
        <v>1217</v>
      </c>
      <c r="AS53" s="11" t="s">
        <v>1218</v>
      </c>
      <c r="AT53" s="11" t="s">
        <v>121</v>
      </c>
      <c r="AU53" s="11" t="s">
        <v>122</v>
      </c>
      <c r="AV53" s="11" t="s">
        <v>123</v>
      </c>
      <c r="AW53" s="11" t="s">
        <v>120</v>
      </c>
      <c r="AZ53" s="139"/>
      <c r="BA53" s="18"/>
      <c r="BB53" s="28">
        <v>0.6</v>
      </c>
      <c r="BC53" s="28">
        <v>13</v>
      </c>
      <c r="BD53" s="28">
        <v>394</v>
      </c>
      <c r="BE53" s="28">
        <f t="shared" si="52"/>
        <v>398.9446612517952</v>
      </c>
      <c r="BF53" s="180">
        <f>BE53/BD53</f>
        <v>1.0125499016543025</v>
      </c>
      <c r="BG53" s="180"/>
      <c r="BH53" s="180"/>
      <c r="BI53" s="180"/>
      <c r="BJ53" s="180"/>
      <c r="BK53" s="180"/>
      <c r="BL53" s="180"/>
      <c r="BM53" s="180"/>
      <c r="BN53" s="180"/>
      <c r="BO53" s="180"/>
      <c r="BP53" s="180"/>
      <c r="BQ53" s="180"/>
      <c r="BR53" s="180"/>
      <c r="BS53" s="180"/>
      <c r="BT53" s="180"/>
      <c r="BU53" s="18"/>
      <c r="BV53" s="18"/>
      <c r="BW53" s="140"/>
      <c r="CC53" s="61"/>
      <c r="CF53" s="47"/>
      <c r="CG53" s="47"/>
      <c r="CH53" s="47"/>
    </row>
    <row r="54" spans="1:86" ht="13.5" customHeight="1">
      <c r="C54" s="61"/>
      <c r="D54" s="61">
        <v>11</v>
      </c>
      <c r="E54" s="61">
        <v>1.7</v>
      </c>
      <c r="F54" s="61"/>
      <c r="J54" s="1">
        <v>1.65</v>
      </c>
      <c r="K54" s="1">
        <v>1</v>
      </c>
      <c r="L54" s="1">
        <v>600</v>
      </c>
      <c r="M54" s="1">
        <v>1000</v>
      </c>
      <c r="N54" s="1">
        <f t="shared" ref="N54:N58" si="57">J54*K54*L54*M54/1000</f>
        <v>990</v>
      </c>
      <c r="U54" s="1">
        <v>2.2000000000000002</v>
      </c>
      <c r="V54" s="1">
        <v>1</v>
      </c>
      <c r="W54" s="1">
        <v>600</v>
      </c>
      <c r="X54" s="1">
        <v>800</v>
      </c>
      <c r="Y54" s="1">
        <f>U54*V54*W54*X54/1000</f>
        <v>1056</v>
      </c>
      <c r="AA54" s="2"/>
      <c r="AE54" s="1" t="s">
        <v>319</v>
      </c>
      <c r="AL54" s="1" t="str">
        <f t="shared" si="44"/>
        <v>zp tel</v>
      </c>
      <c r="AP54" s="1" t="s">
        <v>66</v>
      </c>
      <c r="AQ54" s="3">
        <v>2</v>
      </c>
      <c r="AR54" s="3">
        <v>2</v>
      </c>
      <c r="AS54" s="3">
        <v>2</v>
      </c>
      <c r="AT54" s="3">
        <v>2</v>
      </c>
      <c r="AU54" s="3">
        <v>2</v>
      </c>
      <c r="AV54" s="3">
        <v>2</v>
      </c>
      <c r="AW54" s="3">
        <v>80</v>
      </c>
      <c r="AZ54" s="139"/>
      <c r="BA54" s="18"/>
      <c r="BB54" s="28">
        <v>1.2</v>
      </c>
      <c r="BC54" s="28">
        <v>13</v>
      </c>
      <c r="BD54" s="28">
        <v>1419</v>
      </c>
      <c r="BE54" s="28">
        <f t="shared" si="52"/>
        <v>1418.3961693765391</v>
      </c>
      <c r="BF54" s="180">
        <f>BE54/BD54</f>
        <v>0.99957446749579926</v>
      </c>
      <c r="BG54" s="180"/>
      <c r="BH54" s="180"/>
      <c r="BI54" s="180"/>
      <c r="BJ54" s="180"/>
      <c r="BK54" s="180"/>
      <c r="BL54" s="180"/>
      <c r="BM54" s="180"/>
      <c r="BN54" s="180"/>
      <c r="BO54" s="180"/>
      <c r="BP54" s="180"/>
      <c r="BQ54" s="180"/>
      <c r="BR54" s="180"/>
      <c r="BS54" s="180"/>
      <c r="BT54" s="180"/>
      <c r="BU54" s="18"/>
      <c r="BV54" s="18"/>
      <c r="BW54" s="140"/>
      <c r="CC54" s="61"/>
      <c r="CF54" s="47"/>
      <c r="CG54" s="47"/>
      <c r="CH54" s="47"/>
    </row>
    <row r="55" spans="1:86" ht="13.5" customHeight="1">
      <c r="C55" s="61"/>
      <c r="D55" s="61">
        <v>20</v>
      </c>
      <c r="E55" s="61">
        <v>1.65</v>
      </c>
      <c r="F55" s="61"/>
      <c r="J55" s="1">
        <v>1.65</v>
      </c>
      <c r="K55" s="1">
        <v>1</v>
      </c>
      <c r="L55" s="1">
        <v>600</v>
      </c>
      <c r="M55" s="1">
        <v>1000</v>
      </c>
      <c r="N55" s="1">
        <f t="shared" si="57"/>
        <v>990</v>
      </c>
      <c r="U55" s="1">
        <v>2.2000000000000002</v>
      </c>
      <c r="V55" s="1">
        <v>1</v>
      </c>
      <c r="W55" s="1">
        <v>600</v>
      </c>
      <c r="X55" s="1">
        <v>800</v>
      </c>
      <c r="Y55" s="1">
        <f>U55*V55*W55*X55/1000</f>
        <v>1056</v>
      </c>
      <c r="AE55" s="1">
        <f t="shared" ref="AE55:AE64" si="58">H26</f>
        <v>67.987844542219548</v>
      </c>
      <c r="AL55" s="1">
        <f t="shared" si="44"/>
        <v>67.987844542219548</v>
      </c>
      <c r="AP55" s="1" t="s">
        <v>67</v>
      </c>
      <c r="AQ55" s="3">
        <v>1.0900000000000001</v>
      </c>
      <c r="AR55" s="3">
        <v>0.92</v>
      </c>
      <c r="AS55" s="3">
        <v>0.46</v>
      </c>
      <c r="AT55" s="3">
        <v>0.4</v>
      </c>
      <c r="AU55" s="3">
        <v>0.32</v>
      </c>
      <c r="AV55" s="3">
        <v>0.2</v>
      </c>
      <c r="AW55" s="3">
        <v>1.2E-2</v>
      </c>
      <c r="AZ55" s="139"/>
      <c r="BA55" s="18"/>
      <c r="BB55" s="28"/>
      <c r="BC55" s="28"/>
      <c r="BD55" s="28"/>
      <c r="BE55" s="28"/>
      <c r="BF55" s="180"/>
      <c r="BG55" s="180"/>
      <c r="BH55" s="180"/>
      <c r="BI55" s="180"/>
      <c r="BJ55" s="180"/>
      <c r="BK55" s="180"/>
      <c r="BL55" s="180"/>
      <c r="BM55" s="180"/>
      <c r="BN55" s="180"/>
      <c r="BO55" s="180"/>
      <c r="BP55" s="180"/>
      <c r="BQ55" s="180"/>
      <c r="BR55" s="180"/>
      <c r="BS55" s="180"/>
      <c r="BT55" s="180"/>
      <c r="BU55" s="18"/>
      <c r="BV55" s="18"/>
      <c r="BW55" s="140"/>
      <c r="CC55" s="61"/>
      <c r="CF55" s="47"/>
      <c r="CG55" s="47"/>
      <c r="CH55" s="47"/>
    </row>
    <row r="56" spans="1:86" ht="13.5" customHeight="1">
      <c r="C56" s="61"/>
      <c r="D56" s="61">
        <v>21</v>
      </c>
      <c r="E56" s="61">
        <v>2.2000000000000002</v>
      </c>
      <c r="F56" s="61"/>
      <c r="J56" s="1">
        <v>1.65</v>
      </c>
      <c r="K56" s="1">
        <v>1</v>
      </c>
      <c r="L56" s="1">
        <v>600</v>
      </c>
      <c r="M56" s="1">
        <v>1000</v>
      </c>
      <c r="N56" s="1">
        <f t="shared" si="57"/>
        <v>990</v>
      </c>
      <c r="U56" s="1">
        <v>2.9</v>
      </c>
      <c r="V56" s="1">
        <v>1</v>
      </c>
      <c r="W56" s="1">
        <v>600</v>
      </c>
      <c r="X56" s="1">
        <v>1200</v>
      </c>
      <c r="Y56" s="1">
        <f>U56*V56*W56*X56/1000</f>
        <v>2088</v>
      </c>
      <c r="AE56" s="1">
        <f t="shared" si="58"/>
        <v>67.518042146472581</v>
      </c>
      <c r="AL56" s="1">
        <f t="shared" si="44"/>
        <v>67.518042146472581</v>
      </c>
      <c r="AP56" s="1" t="s">
        <v>68</v>
      </c>
      <c r="AQ56" s="1">
        <f t="shared" ref="AQ56:AW56" si="59">AQ54*AQ55</f>
        <v>2.1800000000000002</v>
      </c>
      <c r="AR56" s="1">
        <f t="shared" si="59"/>
        <v>1.84</v>
      </c>
      <c r="AS56" s="1">
        <f t="shared" si="59"/>
        <v>0.92</v>
      </c>
      <c r="AT56" s="1">
        <f t="shared" si="59"/>
        <v>0.8</v>
      </c>
      <c r="AU56" s="1">
        <f t="shared" si="59"/>
        <v>0.64</v>
      </c>
      <c r="AV56" s="1">
        <f t="shared" si="59"/>
        <v>0.4</v>
      </c>
      <c r="AW56" s="1">
        <f t="shared" si="59"/>
        <v>0.96</v>
      </c>
      <c r="AZ56" s="139" t="s">
        <v>47</v>
      </c>
      <c r="BA56" s="18"/>
      <c r="BB56" s="28">
        <v>0.3</v>
      </c>
      <c r="BC56" s="28">
        <v>10</v>
      </c>
      <c r="BD56" s="28">
        <v>158</v>
      </c>
      <c r="BE56" s="28">
        <f t="shared" si="52"/>
        <v>156.57983208929386</v>
      </c>
      <c r="BF56" s="180">
        <f>BE56/BD56</f>
        <v>0.99101159550185991</v>
      </c>
      <c r="BG56" s="180"/>
      <c r="BH56" s="180"/>
      <c r="BI56" s="180"/>
      <c r="BJ56" s="180"/>
      <c r="BK56" s="180"/>
      <c r="BL56" s="180"/>
      <c r="BM56" s="180"/>
      <c r="BN56" s="180"/>
      <c r="BO56" s="180"/>
      <c r="BP56" s="180"/>
      <c r="BQ56" s="180"/>
      <c r="BR56" s="180"/>
      <c r="BS56" s="180"/>
      <c r="BT56" s="180"/>
      <c r="BU56" s="18"/>
      <c r="BV56" s="18"/>
      <c r="BW56" s="140"/>
      <c r="CC56" s="61"/>
      <c r="CF56" s="47"/>
      <c r="CG56" s="47"/>
      <c r="CH56" s="47"/>
    </row>
    <row r="57" spans="1:86" ht="13.5" customHeight="1">
      <c r="C57" s="61"/>
      <c r="D57" s="61">
        <v>22</v>
      </c>
      <c r="E57" s="61">
        <v>2.9</v>
      </c>
      <c r="F57" s="61"/>
      <c r="J57" s="1">
        <v>1.65</v>
      </c>
      <c r="K57" s="1">
        <v>1</v>
      </c>
      <c r="L57" s="1">
        <v>600</v>
      </c>
      <c r="M57" s="1">
        <v>1000</v>
      </c>
      <c r="N57" s="1">
        <f t="shared" si="57"/>
        <v>990</v>
      </c>
      <c r="U57" s="1">
        <v>4.2</v>
      </c>
      <c r="V57" s="1">
        <v>1</v>
      </c>
      <c r="W57" s="1">
        <v>1100</v>
      </c>
      <c r="X57" s="1">
        <v>900</v>
      </c>
      <c r="Y57" s="1">
        <f>U57*V57*W57*X57/1000</f>
        <v>4158</v>
      </c>
      <c r="AB57" s="1">
        <v>6202</v>
      </c>
      <c r="AC57" s="1">
        <f>AB57/Y57*1000</f>
        <v>1491.5824915824915</v>
      </c>
      <c r="AE57" s="1">
        <f t="shared" si="58"/>
        <v>67.171559020694247</v>
      </c>
      <c r="AL57" s="1">
        <f t="shared" si="44"/>
        <v>67.171559020694247</v>
      </c>
      <c r="AP57" s="1" t="s">
        <v>69</v>
      </c>
      <c r="AQ57" s="1">
        <f t="shared" ref="AQ57:AW57" si="60">AQ55*AQ55*3.14/4*AQ56</f>
        <v>2.0331955300000004</v>
      </c>
      <c r="AR57" s="1">
        <f t="shared" si="60"/>
        <v>1.2225401600000001</v>
      </c>
      <c r="AS57" s="1">
        <f t="shared" si="60"/>
        <v>0.15281752000000001</v>
      </c>
      <c r="AT57" s="1">
        <f t="shared" si="60"/>
        <v>0.10048000000000001</v>
      </c>
      <c r="AU57" s="1">
        <f t="shared" si="60"/>
        <v>5.1445760000000007E-2</v>
      </c>
      <c r="AV57" s="1">
        <f t="shared" si="60"/>
        <v>1.2560000000000002E-2</v>
      </c>
      <c r="AW57" s="1">
        <f t="shared" si="60"/>
        <v>1.0851839999999999E-4</v>
      </c>
      <c r="AZ57" s="139"/>
      <c r="BA57" s="18"/>
      <c r="BB57" s="28">
        <v>0.6</v>
      </c>
      <c r="BC57" s="28">
        <v>10</v>
      </c>
      <c r="BD57" s="28">
        <v>550</v>
      </c>
      <c r="BE57" s="28">
        <f t="shared" si="52"/>
        <v>556.69935108343736</v>
      </c>
      <c r="BF57" s="180">
        <f>BE57/BD57</f>
        <v>1.0121806383335226</v>
      </c>
      <c r="BG57" s="180"/>
      <c r="BH57" s="180"/>
      <c r="BI57" s="180"/>
      <c r="BJ57" s="180"/>
      <c r="BK57" s="180"/>
      <c r="BL57" s="180"/>
      <c r="BM57" s="180"/>
      <c r="BN57" s="180"/>
      <c r="BO57" s="180"/>
      <c r="BP57" s="180"/>
      <c r="BQ57" s="180"/>
      <c r="BR57" s="180"/>
      <c r="BS57" s="180"/>
      <c r="BT57" s="180"/>
      <c r="BU57" s="18"/>
      <c r="BV57" s="18"/>
      <c r="BW57" s="140"/>
      <c r="CC57" s="61"/>
      <c r="CF57" s="47"/>
      <c r="CG57" s="47"/>
      <c r="CH57" s="47"/>
    </row>
    <row r="58" spans="1:86" ht="13.5" customHeight="1">
      <c r="C58" s="61"/>
      <c r="D58" s="61">
        <v>33</v>
      </c>
      <c r="E58" s="61">
        <v>4.2</v>
      </c>
      <c r="F58" s="61">
        <v>3.7</v>
      </c>
      <c r="G58" s="1">
        <v>4.01</v>
      </c>
      <c r="J58" s="1">
        <v>1.65</v>
      </c>
      <c r="K58" s="1">
        <v>1</v>
      </c>
      <c r="L58" s="1">
        <v>600</v>
      </c>
      <c r="M58" s="1">
        <v>1000</v>
      </c>
      <c r="N58" s="1">
        <f t="shared" si="57"/>
        <v>990</v>
      </c>
      <c r="U58" s="1">
        <f>Y58/X58/W58*1000</f>
        <v>3.6979797979797979</v>
      </c>
      <c r="V58" s="1">
        <v>1</v>
      </c>
      <c r="W58" s="1">
        <v>1100</v>
      </c>
      <c r="X58" s="1">
        <v>900</v>
      </c>
      <c r="Y58" s="1">
        <v>3661</v>
      </c>
      <c r="AB58" s="1">
        <v>6202</v>
      </c>
      <c r="AC58" s="1">
        <f t="shared" ref="AC58:AC59" si="61">AB58/Y58*1000</f>
        <v>1694.0726577437858</v>
      </c>
      <c r="AD58" s="48" t="s">
        <v>524</v>
      </c>
      <c r="AE58" s="1">
        <f t="shared" si="58"/>
        <v>66.876801827965565</v>
      </c>
      <c r="AL58" s="1">
        <f t="shared" si="44"/>
        <v>66.876801827965565</v>
      </c>
      <c r="AP58" s="1" t="s">
        <v>1215</v>
      </c>
      <c r="AQ58" s="1">
        <f t="shared" ref="AQ58:AW58" si="62">60*AQ65</f>
        <v>447.67608000000007</v>
      </c>
      <c r="AR58" s="2">
        <f t="shared" si="62"/>
        <v>159.46176000000003</v>
      </c>
      <c r="AS58" s="2">
        <f t="shared" si="62"/>
        <v>79.730880000000013</v>
      </c>
      <c r="AT58" s="1">
        <f t="shared" si="62"/>
        <v>60.288000000000011</v>
      </c>
      <c r="AU58" s="1">
        <f t="shared" si="62"/>
        <v>38.584320000000005</v>
      </c>
      <c r="AV58" s="1">
        <f t="shared" si="62"/>
        <v>15.072000000000003</v>
      </c>
      <c r="AW58" s="1">
        <f t="shared" si="62"/>
        <v>1.74714624</v>
      </c>
      <c r="AZ58" s="141"/>
      <c r="BA58" s="143"/>
      <c r="BB58" s="182">
        <v>1.2</v>
      </c>
      <c r="BC58" s="182">
        <v>10</v>
      </c>
      <c r="BD58" s="182">
        <v>1979</v>
      </c>
      <c r="BE58" s="28">
        <f t="shared" si="52"/>
        <v>1979.2725752827694</v>
      </c>
      <c r="BF58" s="169">
        <f>BE58/BD58</f>
        <v>1.0001377338467758</v>
      </c>
      <c r="BG58" s="169"/>
      <c r="BH58" s="169"/>
      <c r="BI58" s="169"/>
      <c r="BJ58" s="169"/>
      <c r="BK58" s="169"/>
      <c r="BL58" s="169"/>
      <c r="BM58" s="169"/>
      <c r="BN58" s="169"/>
      <c r="BO58" s="169"/>
      <c r="BP58" s="169"/>
      <c r="BQ58" s="169"/>
      <c r="BR58" s="169"/>
      <c r="BS58" s="169"/>
      <c r="BT58" s="169"/>
      <c r="BU58" s="143"/>
      <c r="BV58" s="143"/>
      <c r="BW58" s="144"/>
      <c r="CC58" s="61"/>
      <c r="CF58" s="47"/>
      <c r="CG58" s="47"/>
      <c r="CH58" s="47"/>
    </row>
    <row r="59" spans="1:86" ht="13.5" customHeight="1">
      <c r="U59" s="1">
        <f>Y59/X59/W59*1000</f>
        <v>4.0141414141414149</v>
      </c>
      <c r="V59" s="1">
        <v>1</v>
      </c>
      <c r="W59" s="1">
        <v>1100</v>
      </c>
      <c r="X59" s="1">
        <v>900</v>
      </c>
      <c r="Y59" s="1">
        <v>3974</v>
      </c>
      <c r="AA59" s="1">
        <f>Y58/Y57</f>
        <v>0.88047138047138052</v>
      </c>
      <c r="AB59" s="1">
        <v>6441</v>
      </c>
      <c r="AC59" s="1">
        <f t="shared" si="61"/>
        <v>1620.7851031706089</v>
      </c>
      <c r="AD59" s="48" t="s">
        <v>523</v>
      </c>
      <c r="AE59" s="1">
        <f t="shared" si="58"/>
        <v>66.612082733074601</v>
      </c>
      <c r="AL59" s="1">
        <f t="shared" si="44"/>
        <v>66.612082733074601</v>
      </c>
      <c r="AR59" s="2"/>
      <c r="AS59" s="2"/>
      <c r="CC59" s="61"/>
      <c r="CF59" s="47"/>
      <c r="CG59" s="47"/>
      <c r="CH59" s="47"/>
    </row>
    <row r="60" spans="1:86" ht="13.5" customHeight="1">
      <c r="AA60" s="1">
        <f>Y59/Y58</f>
        <v>1.0854957661841027</v>
      </c>
      <c r="AE60" s="1">
        <f t="shared" si="58"/>
        <v>66.367562201291491</v>
      </c>
      <c r="AL60" s="1">
        <f t="shared" si="44"/>
        <v>66.367562201291491</v>
      </c>
      <c r="AP60" s="1" t="s">
        <v>70</v>
      </c>
      <c r="AQ60" s="1">
        <f t="shared" ref="AQ60:AW60" si="63">4200*AQ57*1000</f>
        <v>8539421.2260000017</v>
      </c>
      <c r="AR60" s="1">
        <f t="shared" si="63"/>
        <v>5134668.6720000003</v>
      </c>
      <c r="AS60" s="1">
        <f t="shared" si="63"/>
        <v>641833.58400000003</v>
      </c>
      <c r="AT60" s="1">
        <f t="shared" si="63"/>
        <v>422016.00000000006</v>
      </c>
      <c r="AU60" s="1">
        <f t="shared" si="63"/>
        <v>216072.19200000004</v>
      </c>
      <c r="AV60" s="1">
        <f t="shared" si="63"/>
        <v>52752.000000000007</v>
      </c>
      <c r="AW60" s="1">
        <f t="shared" si="63"/>
        <v>455.77727999999996</v>
      </c>
      <c r="CC60" s="61"/>
      <c r="CF60" s="47"/>
      <c r="CG60" s="47"/>
      <c r="CH60" s="47"/>
    </row>
    <row r="61" spans="1:86" ht="13.5" customHeight="1">
      <c r="X61" s="1">
        <v>3974</v>
      </c>
      <c r="Y61" s="1">
        <f>X61*1.26</f>
        <v>5007.24</v>
      </c>
      <c r="AE61" s="1">
        <f t="shared" si="58"/>
        <v>66.137820341356786</v>
      </c>
      <c r="AL61" s="1">
        <f t="shared" si="44"/>
        <v>66.137820341356786</v>
      </c>
      <c r="AP61" s="1" t="s">
        <v>71</v>
      </c>
      <c r="AQ61" s="1">
        <f t="shared" ref="AQ61:AW61" si="64">AQ55*AQ55*3.14/4*2</f>
        <v>1.8653170000000003</v>
      </c>
      <c r="AR61" s="1">
        <f t="shared" si="64"/>
        <v>1.328848</v>
      </c>
      <c r="AS61" s="1">
        <f t="shared" si="64"/>
        <v>0.33221200000000001</v>
      </c>
      <c r="AT61" s="1">
        <f t="shared" si="64"/>
        <v>0.25120000000000003</v>
      </c>
      <c r="AU61" s="1">
        <f t="shared" si="64"/>
        <v>0.16076800000000002</v>
      </c>
      <c r="AV61" s="1">
        <f t="shared" si="64"/>
        <v>6.2800000000000009E-2</v>
      </c>
      <c r="AW61" s="1">
        <f t="shared" si="64"/>
        <v>2.2608E-4</v>
      </c>
      <c r="AZ61" s="1" t="s">
        <v>92</v>
      </c>
      <c r="CF61" s="47"/>
      <c r="CG61" s="47"/>
      <c r="CH61" s="47"/>
    </row>
    <row r="62" spans="1:86" ht="13.5" customHeight="1">
      <c r="AE62" s="1">
        <f t="shared" si="58"/>
        <v>65.919502828495808</v>
      </c>
      <c r="AL62" s="1">
        <f t="shared" si="44"/>
        <v>65.919502828495808</v>
      </c>
      <c r="AP62" s="1" t="s">
        <v>72</v>
      </c>
      <c r="AQ62" s="1">
        <f t="shared" ref="AQ62:AW62" si="65">3.14*AQ55*AQ56</f>
        <v>7.4612680000000013</v>
      </c>
      <c r="AR62" s="1">
        <f t="shared" si="65"/>
        <v>5.315392000000001</v>
      </c>
      <c r="AS62" s="1">
        <f t="shared" si="65"/>
        <v>1.3288480000000003</v>
      </c>
      <c r="AT62" s="1">
        <f t="shared" si="65"/>
        <v>1.0048000000000001</v>
      </c>
      <c r="AU62" s="1">
        <f t="shared" si="65"/>
        <v>0.64307200000000009</v>
      </c>
      <c r="AV62" s="1">
        <f t="shared" si="65"/>
        <v>0.25120000000000003</v>
      </c>
      <c r="AW62" s="1">
        <f t="shared" si="65"/>
        <v>3.6172800000000005E-2</v>
      </c>
      <c r="AZ62" s="1" t="s">
        <v>59</v>
      </c>
      <c r="BA62" s="1" t="s">
        <v>91</v>
      </c>
      <c r="BB62" s="1" t="s">
        <v>90</v>
      </c>
      <c r="BC62" s="1" t="s">
        <v>33</v>
      </c>
      <c r="BD62" s="1" t="s">
        <v>17</v>
      </c>
      <c r="BE62" s="1" t="s">
        <v>89</v>
      </c>
      <c r="CF62" s="47"/>
      <c r="CG62" s="47"/>
      <c r="CH62" s="47"/>
    </row>
    <row r="63" spans="1:86" ht="13.5" customHeight="1">
      <c r="N63" s="1">
        <f>SUM(N53:N62)</f>
        <v>5940</v>
      </c>
      <c r="AE63" s="1">
        <f t="shared" si="58"/>
        <v>65.710364593072654</v>
      </c>
      <c r="AL63" s="1">
        <f t="shared" si="44"/>
        <v>65.710364593072654</v>
      </c>
      <c r="AP63" s="1" t="s">
        <v>73</v>
      </c>
      <c r="AQ63" s="1">
        <f t="shared" ref="AQ63:AW63" si="66">SUM(AQ61:AQ62)</f>
        <v>9.3265850000000015</v>
      </c>
      <c r="AR63" s="1">
        <f t="shared" si="66"/>
        <v>6.6442400000000008</v>
      </c>
      <c r="AS63" s="1">
        <f t="shared" si="66"/>
        <v>1.6610600000000002</v>
      </c>
      <c r="AT63" s="1">
        <f t="shared" si="66"/>
        <v>1.2560000000000002</v>
      </c>
      <c r="AU63" s="1">
        <f t="shared" si="66"/>
        <v>0.80384000000000011</v>
      </c>
      <c r="AV63" s="1">
        <f t="shared" si="66"/>
        <v>0.31400000000000006</v>
      </c>
      <c r="AW63" s="1">
        <f t="shared" si="66"/>
        <v>3.6398880000000002E-2</v>
      </c>
      <c r="AZ63" s="1">
        <v>1</v>
      </c>
      <c r="BA63" s="1">
        <v>75</v>
      </c>
      <c r="BB63" s="1">
        <v>65</v>
      </c>
      <c r="BC63" s="1">
        <v>20</v>
      </c>
      <c r="BD63" s="1">
        <f>AZ63/(BA63-BB63)/4.2</f>
        <v>2.3809523809523808E-2</v>
      </c>
      <c r="BE63" s="1">
        <f>3600*BD63</f>
        <v>85.714285714285708</v>
      </c>
      <c r="BG63" s="1">
        <f>45/55</f>
        <v>0.81818181818181823</v>
      </c>
      <c r="CF63" s="47"/>
      <c r="CG63" s="47"/>
      <c r="CH63" s="47"/>
    </row>
    <row r="64" spans="1:86" ht="13.5" customHeight="1">
      <c r="A64" s="53" t="s">
        <v>65</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E64" s="1">
        <f t="shared" si="58"/>
        <v>65.508815738776065</v>
      </c>
      <c r="AL64" s="1">
        <f t="shared" si="44"/>
        <v>65.508815738776065</v>
      </c>
      <c r="AP64" s="1" t="s">
        <v>74</v>
      </c>
      <c r="AQ64" s="1">
        <v>0.05</v>
      </c>
      <c r="AR64" s="1">
        <v>0.1</v>
      </c>
      <c r="AS64" s="1">
        <v>0.05</v>
      </c>
      <c r="AT64" s="1">
        <v>0.05</v>
      </c>
      <c r="AU64" s="1">
        <v>0.05</v>
      </c>
      <c r="AV64" s="1">
        <v>0.05</v>
      </c>
      <c r="AW64" s="1">
        <v>0.05</v>
      </c>
      <c r="CF64" s="47"/>
      <c r="CG64" s="47"/>
      <c r="CH64" s="47"/>
    </row>
    <row r="65" spans="1:86" ht="13.5" customHeight="1" thickBo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E65" s="1" t="s">
        <v>15</v>
      </c>
      <c r="AL65" s="1" t="str">
        <f t="shared" si="44"/>
        <v>m/s</v>
      </c>
      <c r="AP65" s="1" t="s">
        <v>75</v>
      </c>
      <c r="AQ65" s="1">
        <f t="shared" ref="AQ65:AW65" si="67">AQ63/AQ64*0.04</f>
        <v>7.4612680000000013</v>
      </c>
      <c r="AR65" s="1">
        <f t="shared" si="67"/>
        <v>2.6576960000000005</v>
      </c>
      <c r="AS65" s="1">
        <f t="shared" si="67"/>
        <v>1.3288480000000003</v>
      </c>
      <c r="AT65" s="1">
        <f t="shared" si="67"/>
        <v>1.0048000000000001</v>
      </c>
      <c r="AU65" s="1">
        <f t="shared" si="67"/>
        <v>0.64307200000000009</v>
      </c>
      <c r="AV65" s="1">
        <f t="shared" si="67"/>
        <v>0.25120000000000003</v>
      </c>
      <c r="AW65" s="1">
        <f t="shared" si="67"/>
        <v>2.9119104E-2</v>
      </c>
      <c r="CF65" s="47"/>
      <c r="CG65" s="47"/>
      <c r="CH65" s="47"/>
    </row>
    <row r="66" spans="1:86" ht="13.5" customHeight="1">
      <c r="B66" s="14" t="s">
        <v>40</v>
      </c>
      <c r="C66" s="15"/>
      <c r="D66" s="15"/>
      <c r="E66" s="15"/>
      <c r="F66" s="15"/>
      <c r="G66" s="15"/>
      <c r="H66" s="15" t="s">
        <v>39</v>
      </c>
      <c r="I66" s="16"/>
      <c r="J66" s="14" t="s">
        <v>38</v>
      </c>
      <c r="K66" s="15"/>
      <c r="L66" s="15"/>
      <c r="M66" s="15"/>
      <c r="N66" s="15" t="s">
        <v>37</v>
      </c>
      <c r="O66" s="3">
        <f>O22</f>
        <v>10</v>
      </c>
      <c r="P66" s="15" t="s">
        <v>322</v>
      </c>
      <c r="Q66" s="15"/>
      <c r="R66" s="15"/>
      <c r="S66" s="16"/>
      <c r="T66" s="14" t="s">
        <v>36</v>
      </c>
      <c r="U66" s="15"/>
      <c r="V66" s="16"/>
      <c r="W66" s="14"/>
      <c r="X66" s="15"/>
      <c r="Y66" s="15"/>
      <c r="Z66" s="16"/>
      <c r="AE66" s="1">
        <f t="shared" ref="AE66:AE75" si="68">M26</f>
        <v>0.57708537566157947</v>
      </c>
      <c r="AP66" s="1" t="s">
        <v>76</v>
      </c>
      <c r="AQ66" s="1">
        <f t="shared" ref="AQ66:AW66" si="69">AQ60/AQ65/3600</f>
        <v>317.91666666666669</v>
      </c>
      <c r="AR66" s="1">
        <f t="shared" si="69"/>
        <v>536.66666666666663</v>
      </c>
      <c r="AS66" s="1">
        <f t="shared" si="69"/>
        <v>134.16666666666666</v>
      </c>
      <c r="AT66" s="1">
        <f t="shared" si="69"/>
        <v>116.66666666666667</v>
      </c>
      <c r="AU66" s="1">
        <f t="shared" si="69"/>
        <v>93.333333333333329</v>
      </c>
      <c r="AV66" s="1">
        <f t="shared" si="69"/>
        <v>58.333333333333336</v>
      </c>
      <c r="AW66" s="1">
        <f t="shared" si="69"/>
        <v>4.3478260869565215</v>
      </c>
      <c r="CF66" s="47"/>
      <c r="CG66" s="47"/>
      <c r="CH66" s="47"/>
    </row>
    <row r="67" spans="1:86" ht="13.5" customHeight="1">
      <c r="B67" s="17" t="s">
        <v>35</v>
      </c>
      <c r="C67" s="18" t="s">
        <v>22</v>
      </c>
      <c r="D67" s="18"/>
      <c r="E67" s="18" t="s">
        <v>34</v>
      </c>
      <c r="F67" s="18" t="s">
        <v>33</v>
      </c>
      <c r="G67" s="18" t="s">
        <v>7</v>
      </c>
      <c r="H67" s="18" t="s">
        <v>32</v>
      </c>
      <c r="I67" s="19" t="s">
        <v>22</v>
      </c>
      <c r="J67" s="17" t="s">
        <v>31</v>
      </c>
      <c r="K67" s="18"/>
      <c r="L67" s="18" t="s">
        <v>30</v>
      </c>
      <c r="M67" s="18"/>
      <c r="N67" s="18" t="s">
        <v>29</v>
      </c>
      <c r="O67" s="18"/>
      <c r="P67" s="18" t="s">
        <v>28</v>
      </c>
      <c r="Q67" s="20" t="s">
        <v>27</v>
      </c>
      <c r="R67" s="21" t="s">
        <v>26</v>
      </c>
      <c r="S67" s="22" t="s">
        <v>7</v>
      </c>
      <c r="T67" s="23" t="s">
        <v>25</v>
      </c>
      <c r="U67" s="24" t="s">
        <v>24</v>
      </c>
      <c r="V67" s="25" t="s">
        <v>7</v>
      </c>
      <c r="W67" s="26" t="s">
        <v>23</v>
      </c>
      <c r="X67" s="4" t="s">
        <v>22</v>
      </c>
      <c r="Y67" s="4" t="s">
        <v>21</v>
      </c>
      <c r="Z67" s="5" t="s">
        <v>20</v>
      </c>
      <c r="AA67" s="4" t="s">
        <v>57</v>
      </c>
      <c r="AE67" s="1">
        <f t="shared" si="68"/>
        <v>0.5395775546980125</v>
      </c>
      <c r="AP67" s="1" t="s">
        <v>77</v>
      </c>
      <c r="AQ67" s="1">
        <f t="shared" ref="AQ67:AW67" si="70">AQ66/24</f>
        <v>13.246527777777779</v>
      </c>
      <c r="AR67" s="1">
        <f t="shared" si="70"/>
        <v>22.361111111111111</v>
      </c>
      <c r="AS67" s="1">
        <f t="shared" si="70"/>
        <v>5.5902777777777777</v>
      </c>
      <c r="AT67" s="1">
        <f t="shared" si="70"/>
        <v>4.8611111111111116</v>
      </c>
      <c r="AU67" s="1">
        <f t="shared" si="70"/>
        <v>3.8888888888888888</v>
      </c>
      <c r="AV67" s="1">
        <f t="shared" si="70"/>
        <v>2.4305555555555558</v>
      </c>
      <c r="AW67" s="1">
        <f t="shared" si="70"/>
        <v>0.18115942028985507</v>
      </c>
      <c r="AZ67" s="61" t="s">
        <v>162</v>
      </c>
      <c r="CF67" s="47"/>
      <c r="CG67" s="47"/>
      <c r="CH67" s="47"/>
    </row>
    <row r="68" spans="1:86" ht="13.5" customHeight="1">
      <c r="B68" s="27" t="s">
        <v>3</v>
      </c>
      <c r="C68" s="28" t="s">
        <v>17</v>
      </c>
      <c r="D68" s="20" t="s">
        <v>13</v>
      </c>
      <c r="E68" s="20" t="s">
        <v>19</v>
      </c>
      <c r="F68" s="28" t="s">
        <v>19</v>
      </c>
      <c r="G68" s="20" t="s">
        <v>3</v>
      </c>
      <c r="H68" s="20" t="s">
        <v>19</v>
      </c>
      <c r="I68" s="29" t="s">
        <v>12</v>
      </c>
      <c r="J68" s="30" t="s">
        <v>18</v>
      </c>
      <c r="K68" s="31" t="s">
        <v>17</v>
      </c>
      <c r="L68" s="32" t="s">
        <v>16</v>
      </c>
      <c r="M68" s="20" t="s">
        <v>15</v>
      </c>
      <c r="N68" s="20" t="s">
        <v>14</v>
      </c>
      <c r="O68" s="20" t="s">
        <v>13</v>
      </c>
      <c r="P68" s="20" t="s">
        <v>12</v>
      </c>
      <c r="Q68" s="20" t="s">
        <v>11</v>
      </c>
      <c r="R68" s="21" t="s">
        <v>11</v>
      </c>
      <c r="S68" s="22" t="s">
        <v>10</v>
      </c>
      <c r="T68" s="23" t="s">
        <v>9</v>
      </c>
      <c r="U68" s="24" t="s">
        <v>9</v>
      </c>
      <c r="V68" s="33" t="s">
        <v>8</v>
      </c>
      <c r="W68" s="34" t="s">
        <v>7</v>
      </c>
      <c r="X68" s="4" t="s">
        <v>6</v>
      </c>
      <c r="Y68" s="6" t="s">
        <v>5</v>
      </c>
      <c r="Z68" s="7" t="s">
        <v>5</v>
      </c>
      <c r="AA68" s="6" t="s">
        <v>7</v>
      </c>
      <c r="AE68" s="1">
        <f t="shared" si="68"/>
        <v>0.51253351140466707</v>
      </c>
      <c r="AZ68" s="61" t="s">
        <v>163</v>
      </c>
      <c r="CF68" s="47"/>
      <c r="CG68" s="47"/>
      <c r="CH68" s="47"/>
    </row>
    <row r="69" spans="1:86" ht="13.5" customHeight="1" thickBot="1">
      <c r="B69" s="35" t="s">
        <v>296</v>
      </c>
      <c r="C69" s="36"/>
      <c r="D69" s="37"/>
      <c r="E69" s="38"/>
      <c r="F69" s="38"/>
      <c r="G69" s="37"/>
      <c r="H69" s="37"/>
      <c r="I69" s="39"/>
      <c r="J69" s="40" t="s">
        <v>4</v>
      </c>
      <c r="K69" s="41"/>
      <c r="L69" s="36"/>
      <c r="M69" s="37"/>
      <c r="N69" s="156">
        <f>N25</f>
        <v>1.25</v>
      </c>
      <c r="O69" s="157" t="s">
        <v>331</v>
      </c>
      <c r="P69" s="37"/>
      <c r="Q69" s="42"/>
      <c r="R69" s="42"/>
      <c r="S69" s="39" t="s">
        <v>3</v>
      </c>
      <c r="T69" s="43"/>
      <c r="U69" s="44"/>
      <c r="V69" s="39" t="s">
        <v>3</v>
      </c>
      <c r="W69" s="45" t="s">
        <v>3</v>
      </c>
      <c r="X69" s="8" t="s">
        <v>2</v>
      </c>
      <c r="Y69" s="9" t="s">
        <v>1</v>
      </c>
      <c r="Z69" s="72" t="s">
        <v>0</v>
      </c>
      <c r="AB69" s="64" t="s">
        <v>169</v>
      </c>
      <c r="AC69" s="64" t="s">
        <v>170</v>
      </c>
      <c r="AD69" s="1" t="s">
        <v>297</v>
      </c>
      <c r="AE69" s="1">
        <f t="shared" si="68"/>
        <v>0.49114567878489984</v>
      </c>
      <c r="AF69" s="1" t="s">
        <v>300</v>
      </c>
      <c r="AG69" s="1" t="s">
        <v>298</v>
      </c>
      <c r="AH69" s="1" t="s">
        <v>299</v>
      </c>
      <c r="AP69" s="1" t="s">
        <v>1216</v>
      </c>
      <c r="AQ69" s="1" t="str">
        <f>AQ53</f>
        <v>2000l</v>
      </c>
      <c r="AR69" s="1" t="str">
        <f t="shared" ref="AR69:AW69" si="71">AR53</f>
        <v>1200l</v>
      </c>
      <c r="AS69" s="1" t="str">
        <f t="shared" si="71"/>
        <v>160l</v>
      </c>
      <c r="AT69" s="1" t="str">
        <f t="shared" si="71"/>
        <v>100l</v>
      </c>
      <c r="AU69" s="1" t="str">
        <f t="shared" si="71"/>
        <v>50l</v>
      </c>
      <c r="AV69" s="1" t="str">
        <f t="shared" si="71"/>
        <v>10l</v>
      </c>
      <c r="AW69" s="1" t="str">
        <f t="shared" si="71"/>
        <v>trubka</v>
      </c>
      <c r="AZ69" s="61" t="s">
        <v>164</v>
      </c>
      <c r="CF69" s="47"/>
      <c r="CG69" s="47"/>
      <c r="CH69" s="47"/>
    </row>
    <row r="70" spans="1:86" ht="13.5" customHeight="1">
      <c r="A70" s="1">
        <v>1</v>
      </c>
      <c r="B70" s="3">
        <f>B26</f>
        <v>1000</v>
      </c>
      <c r="C70" s="1">
        <f>(B70*B$21+0.001)/42000</f>
        <v>2.5000023809523809E-2</v>
      </c>
      <c r="D70" s="1">
        <f>EXP((1+(E70-F70-55)/55*$B$18)*B70/C70/-210000)</f>
        <v>0.8295057488531794</v>
      </c>
      <c r="E70" s="1">
        <f t="shared" ref="E70:E79" si="72">R70</f>
        <v>72.301879285768166</v>
      </c>
      <c r="F70" s="3">
        <f>F26</f>
        <v>20</v>
      </c>
      <c r="G70" s="1">
        <f t="shared" ref="G70:G79" si="73">(E70-F70)*C70*(1-D70)*4200</f>
        <v>936.30371466881161</v>
      </c>
      <c r="H70" s="1">
        <f t="shared" ref="H70:H79" si="74">(E70-F70)*D70+F70</f>
        <v>63.384709543369716</v>
      </c>
      <c r="I70" s="1">
        <f t="shared" ref="I70:I79" si="75">B70*0.001*6/C70</f>
        <v>239.99977142878913</v>
      </c>
      <c r="J70" s="3">
        <f t="shared" ref="J70:J79" si="76">J26</f>
        <v>10</v>
      </c>
      <c r="K70" s="47">
        <f>K25+C70</f>
        <v>2.5000023809523809E-2</v>
      </c>
      <c r="L70" s="3">
        <f t="shared" ref="L70:L79" si="77">L26</f>
        <v>3</v>
      </c>
      <c r="M70" s="47">
        <f t="shared" ref="M70:M79" si="78">K70/(J70*J70*3.14/4000)</f>
        <v>0.31847164088565361</v>
      </c>
      <c r="N70" s="47">
        <f t="shared" ref="N70:N79" si="79">L70*26400/J70^1.27*M70^1.83*$N$69</f>
        <v>655.02020338143029</v>
      </c>
      <c r="O70" s="1">
        <f t="shared" ref="O70:O79" si="80">EXP(-(J70+2)*3.14/1000*$O$66/(M70*J70*J70*3.14/4000*4200)*L70)</f>
        <v>0.98929203875929372</v>
      </c>
      <c r="P70" s="1">
        <f t="shared" ref="P70:P79" si="81">L70/M70</f>
        <v>9.4199910285799735</v>
      </c>
      <c r="Q70" s="1">
        <f t="shared" ref="Q70:Q78" si="82">R71</f>
        <v>72.867987648381174</v>
      </c>
      <c r="R70" s="1">
        <f t="shared" ref="R70:R79" si="83">(Q70-F70)*O70+F70</f>
        <v>72.301879285768166</v>
      </c>
      <c r="S70" s="11">
        <f t="shared" ref="S70:S79" si="84">K70*(1-O70)*4200*(Q70-F70)</f>
        <v>59.441434685201656</v>
      </c>
      <c r="T70" s="1">
        <f>(U25*K25+H70*C70)/K70</f>
        <v>63.384709543369723</v>
      </c>
      <c r="U70" s="47">
        <f t="shared" ref="U70:U79" si="85">(T70-F70)*O70+F70</f>
        <v>62.920147755140022</v>
      </c>
      <c r="V70" s="11">
        <f t="shared" ref="V70:V79" si="86">K70*(1-O70)*4200*(T70-F70)</f>
        <v>48.779034220297603</v>
      </c>
      <c r="W70" s="2">
        <f t="shared" ref="W70:W79" si="87">G70+(S70+V70)*$AB$22+0.01</f>
        <v>936.3137146688116</v>
      </c>
      <c r="X70" s="1">
        <f t="shared" ref="X70:X79" si="88">C70*3600</f>
        <v>90.000085714285717</v>
      </c>
      <c r="Y70" s="1">
        <f t="shared" ref="Y70:Y78" si="89">Y71-2*N70/1000</f>
        <v>-5.5990544296956237</v>
      </c>
      <c r="Z70" s="63" t="e">
        <f t="shared" ref="Z70:Z79" si="90">IF(LOG10(Y70/X70/X70)&lt;-2.875,3.5+(-2.875-LOG10(Y70/X70/X70))*$BR$18,3.5+(-2.875-LOG10(Y70/X70/X70))*$BR$19)</f>
        <v>#NUM!</v>
      </c>
      <c r="AA70" s="3">
        <f t="shared" ref="AA70:AA79" si="91">AA26</f>
        <v>1000</v>
      </c>
      <c r="AB70" s="64" t="e">
        <f t="shared" ref="AB70:AB79" si="92">X70/1000/SQRT(Y70/104)</f>
        <v>#NUM!</v>
      </c>
      <c r="AC70" s="63" t="e">
        <f t="shared" ref="AC70:AC79" si="93">IF(LOG10(Y70/X70/X70)&lt;-3.003,3+(-3.003-LOG10(Y70/X70/X70))*$BF$6,3+(-3.003-LOG10(Y70/X70/X70))*$BF$7)</f>
        <v>#NUM!</v>
      </c>
      <c r="AD70" s="1">
        <f>Y$37+N70/1000*2</f>
        <v>7.3100404067628606</v>
      </c>
      <c r="AE70" s="1">
        <f t="shared" si="68"/>
        <v>0.47336174046607465</v>
      </c>
      <c r="AF70" s="1">
        <f>AA70</f>
        <v>1000</v>
      </c>
      <c r="AG70" s="1">
        <f>W81</f>
        <v>999.05926106678214</v>
      </c>
      <c r="AH70" s="1">
        <f>W70</f>
        <v>936.3137146688116</v>
      </c>
      <c r="AP70" s="1">
        <v>0</v>
      </c>
      <c r="AQ70" s="1">
        <v>80</v>
      </c>
      <c r="AR70" s="1">
        <f>AQ70</f>
        <v>80</v>
      </c>
      <c r="AS70" s="1">
        <f t="shared" ref="AS70:AW70" si="94">AR70</f>
        <v>80</v>
      </c>
      <c r="AT70" s="1">
        <f t="shared" si="94"/>
        <v>80</v>
      </c>
      <c r="AU70" s="1">
        <f t="shared" si="94"/>
        <v>80</v>
      </c>
      <c r="AV70" s="1">
        <f t="shared" si="94"/>
        <v>80</v>
      </c>
      <c r="AW70" s="1">
        <f t="shared" si="94"/>
        <v>80</v>
      </c>
      <c r="AZ70" s="61" t="s">
        <v>165</v>
      </c>
      <c r="BG70" s="61" t="s">
        <v>167</v>
      </c>
      <c r="BH70" s="61" t="s">
        <v>168</v>
      </c>
      <c r="CF70" s="47"/>
      <c r="CG70" s="47"/>
      <c r="CH70" s="47"/>
    </row>
    <row r="71" spans="1:86" ht="13.5" customHeight="1">
      <c r="A71" s="1">
        <v>2</v>
      </c>
      <c r="B71" s="3">
        <f t="shared" ref="B71:B79" si="95">B27</f>
        <v>1000</v>
      </c>
      <c r="C71" s="1">
        <f t="shared" ref="C71:C79" si="96">(B71*B$21+0.001)/42000</f>
        <v>2.5000023809523809E-2</v>
      </c>
      <c r="D71" s="1">
        <f t="shared" ref="D71:D79" si="97">EXP((1+(E71-F71-55)/55*$B$18)*B71/C71/-210000)</f>
        <v>0.82888799083022324</v>
      </c>
      <c r="E71" s="1">
        <f t="shared" si="72"/>
        <v>72.867987648381174</v>
      </c>
      <c r="F71" s="3">
        <f t="shared" ref="F71:F79" si="98">F27</f>
        <v>20</v>
      </c>
      <c r="G71" s="1">
        <f t="shared" si="73"/>
        <v>949.8674012988904</v>
      </c>
      <c r="H71" s="1">
        <f t="shared" si="74"/>
        <v>63.821640061103729</v>
      </c>
      <c r="I71" s="1">
        <f t="shared" si="75"/>
        <v>239.99977142878913</v>
      </c>
      <c r="J71" s="3">
        <f t="shared" si="76"/>
        <v>14.142135623730951</v>
      </c>
      <c r="K71" s="47">
        <f t="shared" ref="K71:K79" si="99">K70+C71</f>
        <v>5.0000047619047618E-2</v>
      </c>
      <c r="L71" s="3">
        <f t="shared" si="77"/>
        <v>3</v>
      </c>
      <c r="M71" s="47">
        <f t="shared" si="78"/>
        <v>0.31847164088565355</v>
      </c>
      <c r="N71" s="47">
        <f t="shared" si="79"/>
        <v>421.79424344636709</v>
      </c>
      <c r="O71" s="1">
        <f t="shared" si="80"/>
        <v>0.99278525817206176</v>
      </c>
      <c r="P71" s="1">
        <f t="shared" si="81"/>
        <v>9.4199910285799753</v>
      </c>
      <c r="Q71" s="1">
        <f t="shared" si="82"/>
        <v>73.252188439746661</v>
      </c>
      <c r="R71" s="1">
        <f t="shared" si="83"/>
        <v>72.867987648381174</v>
      </c>
      <c r="S71" s="11">
        <f t="shared" si="84"/>
        <v>80.682243026911081</v>
      </c>
      <c r="T71" s="1">
        <f t="shared" ref="T71:T79" si="100">(U70*K70+H71*C71)/K71</f>
        <v>63.370893908121872</v>
      </c>
      <c r="U71" s="47">
        <f t="shared" si="85"/>
        <v>63.057984105727876</v>
      </c>
      <c r="V71" s="11">
        <f t="shared" si="86"/>
        <v>65.711121084700224</v>
      </c>
      <c r="W71" s="2">
        <f t="shared" si="87"/>
        <v>949.87740129889039</v>
      </c>
      <c r="X71" s="1">
        <f t="shared" si="88"/>
        <v>90.000085714285717</v>
      </c>
      <c r="Y71" s="1">
        <f t="shared" si="89"/>
        <v>-4.2890140229327631</v>
      </c>
      <c r="Z71" s="63" t="e">
        <f t="shared" si="90"/>
        <v>#NUM!</v>
      </c>
      <c r="AA71" s="3">
        <f t="shared" si="91"/>
        <v>1000</v>
      </c>
      <c r="AB71" s="64" t="e">
        <f t="shared" si="92"/>
        <v>#NUM!</v>
      </c>
      <c r="AC71" s="63" t="e">
        <f t="shared" si="93"/>
        <v>#NUM!</v>
      </c>
      <c r="AD71" s="1">
        <f>AD70+N71/1000*2</f>
        <v>8.1536288936555952</v>
      </c>
      <c r="AE71" s="1">
        <f t="shared" si="68"/>
        <v>0.45809974862877978</v>
      </c>
      <c r="AF71" s="1">
        <f t="shared" ref="AF71:AF79" si="101">AA71</f>
        <v>1000</v>
      </c>
      <c r="AG71" s="1">
        <f t="shared" ref="AG71:AG79" si="102">W82</f>
        <v>999.47369720310473</v>
      </c>
      <c r="AH71" s="1">
        <f t="shared" ref="AH71:AH79" si="103">W71</f>
        <v>949.87740129889039</v>
      </c>
      <c r="AP71" s="1">
        <v>0.25</v>
      </c>
      <c r="AQ71" s="1">
        <f>20+(AQ$70-20)*EXP(-$AP71/AQ$67)</f>
        <v>78.878246435601852</v>
      </c>
      <c r="AR71" s="1">
        <f t="shared" ref="AR71:AW86" si="104">20+(AR$70-20)*EXP(-$AP71/AR$67)</f>
        <v>79.332928466269678</v>
      </c>
      <c r="AS71" s="1">
        <f t="shared" si="104"/>
        <v>77.375883406633932</v>
      </c>
      <c r="AT71" s="1">
        <f t="shared" si="104"/>
        <v>76.992289730184808</v>
      </c>
      <c r="AU71" s="1">
        <f t="shared" si="104"/>
        <v>76.264222183073869</v>
      </c>
      <c r="AV71" s="1">
        <f t="shared" si="104"/>
        <v>74.135351478155485</v>
      </c>
      <c r="AW71" s="1">
        <f t="shared" si="104"/>
        <v>35.094713183585391</v>
      </c>
      <c r="AZ71" s="61" t="s">
        <v>166</v>
      </c>
      <c r="BG71" s="61">
        <v>14</v>
      </c>
      <c r="BH71" s="61">
        <v>10</v>
      </c>
      <c r="CF71" s="47"/>
      <c r="CG71" s="47"/>
      <c r="CH71" s="47"/>
    </row>
    <row r="72" spans="1:86" ht="13.5" customHeight="1">
      <c r="A72" s="1">
        <v>3</v>
      </c>
      <c r="B72" s="3">
        <f t="shared" si="95"/>
        <v>1000</v>
      </c>
      <c r="C72" s="1">
        <f t="shared" si="96"/>
        <v>2.5000023809523809E-2</v>
      </c>
      <c r="D72" s="1">
        <f t="shared" si="97"/>
        <v>0.82846899904859106</v>
      </c>
      <c r="E72" s="1">
        <f t="shared" si="72"/>
        <v>73.252188439746661</v>
      </c>
      <c r="F72" s="3">
        <f t="shared" si="98"/>
        <v>20</v>
      </c>
      <c r="G72" s="1">
        <f t="shared" si="73"/>
        <v>959.11303796201184</v>
      </c>
      <c r="H72" s="1">
        <f t="shared" si="74"/>
        <v>64.117787253823877</v>
      </c>
      <c r="I72" s="1">
        <f t="shared" si="75"/>
        <v>239.99977142878913</v>
      </c>
      <c r="J72" s="3">
        <f t="shared" si="76"/>
        <v>17.320508075688775</v>
      </c>
      <c r="K72" s="47">
        <f t="shared" si="99"/>
        <v>7.500007142857143E-2</v>
      </c>
      <c r="L72" s="3">
        <f t="shared" si="77"/>
        <v>3</v>
      </c>
      <c r="M72" s="47">
        <f t="shared" si="78"/>
        <v>0.31847164088565355</v>
      </c>
      <c r="N72" s="47">
        <f t="shared" si="79"/>
        <v>326.04886954528092</v>
      </c>
      <c r="O72" s="1">
        <f t="shared" si="80"/>
        <v>0.99423891264131414</v>
      </c>
      <c r="P72" s="1">
        <f t="shared" si="81"/>
        <v>9.4199910285799753</v>
      </c>
      <c r="Q72" s="1">
        <f t="shared" si="82"/>
        <v>73.560756637733959</v>
      </c>
      <c r="R72" s="1">
        <f t="shared" si="83"/>
        <v>73.252188439746661</v>
      </c>
      <c r="S72" s="11">
        <f t="shared" si="84"/>
        <v>97.199074936458487</v>
      </c>
      <c r="T72" s="1">
        <f t="shared" si="100"/>
        <v>63.411251821759869</v>
      </c>
      <c r="U72" s="47">
        <f t="shared" si="85"/>
        <v>63.161155807664798</v>
      </c>
      <c r="V72" s="11">
        <f t="shared" si="86"/>
        <v>78.780319468751017</v>
      </c>
      <c r="W72" s="2">
        <f t="shared" si="87"/>
        <v>959.12303796201184</v>
      </c>
      <c r="X72" s="1">
        <f t="shared" si="88"/>
        <v>90.000085714285717</v>
      </c>
      <c r="Y72" s="1">
        <f t="shared" si="89"/>
        <v>-3.4454255360400285</v>
      </c>
      <c r="Z72" s="63" t="e">
        <f t="shared" si="90"/>
        <v>#NUM!</v>
      </c>
      <c r="AA72" s="3">
        <f t="shared" si="91"/>
        <v>1000</v>
      </c>
      <c r="AB72" s="64" t="e">
        <f t="shared" si="92"/>
        <v>#NUM!</v>
      </c>
      <c r="AC72" s="63" t="e">
        <f t="shared" si="93"/>
        <v>#NUM!</v>
      </c>
      <c r="AD72" s="1">
        <f t="shared" ref="AD72:AD79" si="105">AD71+N72/1000*2</f>
        <v>8.8057266327461576</v>
      </c>
      <c r="AE72" s="1">
        <f t="shared" si="68"/>
        <v>0.44471321918882234</v>
      </c>
      <c r="AF72" s="1">
        <f t="shared" si="101"/>
        <v>1000</v>
      </c>
      <c r="AG72" s="1">
        <f t="shared" si="102"/>
        <v>999.67189986606866</v>
      </c>
      <c r="AH72" s="1">
        <f t="shared" si="103"/>
        <v>959.12303796201184</v>
      </c>
      <c r="AP72" s="1">
        <v>0.5</v>
      </c>
      <c r="AQ72" s="1">
        <f t="shared" ref="AQ72:AW87" si="106">20+(AQ$70-20)*EXP(-$AP72/AQ$67)</f>
        <v>77.777465055524388</v>
      </c>
      <c r="AR72" s="1">
        <f t="shared" si="104"/>
        <v>78.673273339724588</v>
      </c>
      <c r="AS72" s="1">
        <f t="shared" si="104"/>
        <v>74.866533278194169</v>
      </c>
      <c r="AT72" s="1">
        <f t="shared" si="104"/>
        <v>74.135351478155485</v>
      </c>
      <c r="AU72" s="1">
        <f t="shared" si="104"/>
        <v>72.761044964438355</v>
      </c>
      <c r="AV72" s="1">
        <f t="shared" si="104"/>
        <v>68.843937994390515</v>
      </c>
      <c r="AW72" s="1">
        <f t="shared" si="104"/>
        <v>23.797506101578442</v>
      </c>
      <c r="BG72" s="61">
        <v>16</v>
      </c>
      <c r="BH72" s="61">
        <v>12</v>
      </c>
      <c r="CF72" s="47"/>
      <c r="CG72" s="47"/>
      <c r="CH72" s="47"/>
    </row>
    <row r="73" spans="1:86" ht="13.5" customHeight="1">
      <c r="A73" s="1">
        <v>4</v>
      </c>
      <c r="B73" s="3">
        <f t="shared" si="95"/>
        <v>1000</v>
      </c>
      <c r="C73" s="1">
        <f t="shared" si="96"/>
        <v>2.5000023809523809E-2</v>
      </c>
      <c r="D73" s="1">
        <f t="shared" si="97"/>
        <v>0.82813264207206461</v>
      </c>
      <c r="E73" s="1">
        <f t="shared" si="72"/>
        <v>73.560756637733959</v>
      </c>
      <c r="F73" s="3">
        <f t="shared" si="98"/>
        <v>20</v>
      </c>
      <c r="G73" s="1">
        <f t="shared" si="73"/>
        <v>966.56222238916189</v>
      </c>
      <c r="H73" s="1">
        <f t="shared" si="74"/>
        <v>64.355410905785504</v>
      </c>
      <c r="I73" s="1">
        <f t="shared" si="75"/>
        <v>239.99977142878913</v>
      </c>
      <c r="J73" s="3">
        <f t="shared" si="76"/>
        <v>20</v>
      </c>
      <c r="K73" s="47">
        <f t="shared" si="99"/>
        <v>0.10000009523809524</v>
      </c>
      <c r="L73" s="3">
        <f t="shared" si="77"/>
        <v>3</v>
      </c>
      <c r="M73" s="47">
        <f t="shared" si="78"/>
        <v>0.31847164088565361</v>
      </c>
      <c r="N73" s="47">
        <f t="shared" si="79"/>
        <v>271.61052878378558</v>
      </c>
      <c r="O73" s="1">
        <f t="shared" si="80"/>
        <v>0.99507787255167568</v>
      </c>
      <c r="P73" s="1">
        <f t="shared" si="81"/>
        <v>9.4199910285799735</v>
      </c>
      <c r="Q73" s="1">
        <f t="shared" si="82"/>
        <v>73.825693561437816</v>
      </c>
      <c r="R73" s="1">
        <f t="shared" si="83"/>
        <v>73.560756637733959</v>
      </c>
      <c r="S73" s="11">
        <f t="shared" si="84"/>
        <v>111.27361393038512</v>
      </c>
      <c r="T73" s="1">
        <f t="shared" si="100"/>
        <v>63.459719582194971</v>
      </c>
      <c r="U73" s="47">
        <f t="shared" si="85"/>
        <v>63.245805303542973</v>
      </c>
      <c r="V73" s="11">
        <f t="shared" si="86"/>
        <v>89.844082599551399</v>
      </c>
      <c r="W73" s="2">
        <f t="shared" si="87"/>
        <v>966.57222238916188</v>
      </c>
      <c r="X73" s="1">
        <f t="shared" si="88"/>
        <v>90.000085714285717</v>
      </c>
      <c r="Y73" s="1">
        <f t="shared" si="89"/>
        <v>-2.793327796949467</v>
      </c>
      <c r="Z73" s="63" t="e">
        <f t="shared" si="90"/>
        <v>#NUM!</v>
      </c>
      <c r="AA73" s="3">
        <f t="shared" si="91"/>
        <v>1000</v>
      </c>
      <c r="AB73" s="64" t="e">
        <f t="shared" si="92"/>
        <v>#NUM!</v>
      </c>
      <c r="AC73" s="63" t="e">
        <f t="shared" si="93"/>
        <v>#NUM!</v>
      </c>
      <c r="AD73" s="1">
        <f t="shared" si="105"/>
        <v>9.3489476903137287</v>
      </c>
      <c r="AE73" s="1">
        <f t="shared" si="68"/>
        <v>0.43278222186677373</v>
      </c>
      <c r="AF73" s="1">
        <f t="shared" si="101"/>
        <v>1000</v>
      </c>
      <c r="AG73" s="1">
        <f t="shared" si="102"/>
        <v>999.79152330794921</v>
      </c>
      <c r="AH73" s="1">
        <f t="shared" si="103"/>
        <v>966.57222238916188</v>
      </c>
      <c r="AP73" s="1">
        <v>0.75</v>
      </c>
      <c r="AQ73" s="1">
        <f t="shared" si="106"/>
        <v>76.697263766058995</v>
      </c>
      <c r="AR73" s="1">
        <f t="shared" si="104"/>
        <v>78.020952165796103</v>
      </c>
      <c r="AS73" s="1">
        <f t="shared" si="104"/>
        <v>72.466930271597818</v>
      </c>
      <c r="AT73" s="1">
        <f t="shared" si="104"/>
        <v>71.421627268140426</v>
      </c>
      <c r="AU73" s="1">
        <f t="shared" si="104"/>
        <v>69.475985941505172</v>
      </c>
      <c r="AV73" s="1">
        <f t="shared" si="104"/>
        <v>64.069729181726046</v>
      </c>
      <c r="AW73" s="1">
        <f t="shared" si="104"/>
        <v>20.955371090270702</v>
      </c>
      <c r="AZ73" s="61" t="s">
        <v>89</v>
      </c>
      <c r="BA73" s="61" t="s">
        <v>159</v>
      </c>
      <c r="BB73" s="61" t="s">
        <v>15</v>
      </c>
      <c r="BC73" s="61" t="s">
        <v>14</v>
      </c>
      <c r="BD73" s="61" t="s">
        <v>160</v>
      </c>
      <c r="BE73" s="61" t="s">
        <v>161</v>
      </c>
      <c r="BG73" s="61">
        <v>18</v>
      </c>
      <c r="BH73" s="61">
        <v>14</v>
      </c>
      <c r="CF73" s="47"/>
      <c r="CG73" s="47"/>
      <c r="CH73" s="47"/>
    </row>
    <row r="74" spans="1:86" ht="13.5" customHeight="1">
      <c r="A74" s="1">
        <v>5</v>
      </c>
      <c r="B74" s="3">
        <f t="shared" si="95"/>
        <v>1000</v>
      </c>
      <c r="C74" s="1">
        <f t="shared" si="96"/>
        <v>2.5000023809523809E-2</v>
      </c>
      <c r="D74" s="1">
        <f t="shared" si="97"/>
        <v>0.8278439546422266</v>
      </c>
      <c r="E74" s="1">
        <f t="shared" si="72"/>
        <v>73.825693561437816</v>
      </c>
      <c r="F74" s="3">
        <f t="shared" si="98"/>
        <v>20</v>
      </c>
      <c r="G74" s="1">
        <f t="shared" si="73"/>
        <v>972.97487357038665</v>
      </c>
      <c r="H74" s="1">
        <f t="shared" si="74"/>
        <v>64.559275019261321</v>
      </c>
      <c r="I74" s="1">
        <f t="shared" si="75"/>
        <v>239.99977142878913</v>
      </c>
      <c r="J74" s="3">
        <f t="shared" si="76"/>
        <v>22.360679774997898</v>
      </c>
      <c r="K74" s="47">
        <f t="shared" si="99"/>
        <v>0.12500011904761904</v>
      </c>
      <c r="L74" s="3">
        <f t="shared" si="77"/>
        <v>3</v>
      </c>
      <c r="M74" s="47">
        <f t="shared" si="78"/>
        <v>0.31847164088565355</v>
      </c>
      <c r="N74" s="47">
        <f t="shared" si="79"/>
        <v>235.72668173163211</v>
      </c>
      <c r="O74" s="1">
        <f t="shared" si="80"/>
        <v>0.99563854109947547</v>
      </c>
      <c r="P74" s="1">
        <f t="shared" si="81"/>
        <v>9.4199910285799753</v>
      </c>
      <c r="Q74" s="1">
        <f t="shared" si="82"/>
        <v>74.061480486681987</v>
      </c>
      <c r="R74" s="1">
        <f t="shared" si="83"/>
        <v>73.825693561437816</v>
      </c>
      <c r="S74" s="11">
        <f t="shared" si="84"/>
        <v>123.78825364665308</v>
      </c>
      <c r="T74" s="1">
        <f t="shared" si="100"/>
        <v>63.508499246686647</v>
      </c>
      <c r="U74" s="47">
        <f t="shared" si="85"/>
        <v>63.318738715398723</v>
      </c>
      <c r="V74" s="11">
        <f t="shared" si="86"/>
        <v>99.624373806426917</v>
      </c>
      <c r="W74" s="2">
        <f t="shared" si="87"/>
        <v>972.98487357038664</v>
      </c>
      <c r="X74" s="1">
        <f t="shared" si="88"/>
        <v>90.000085714285717</v>
      </c>
      <c r="Y74" s="1">
        <f t="shared" si="89"/>
        <v>-2.2501067393818959</v>
      </c>
      <c r="Z74" s="63" t="e">
        <f t="shared" si="90"/>
        <v>#NUM!</v>
      </c>
      <c r="AA74" s="3">
        <f t="shared" si="91"/>
        <v>1000</v>
      </c>
      <c r="AB74" s="64" t="e">
        <f t="shared" si="92"/>
        <v>#NUM!</v>
      </c>
      <c r="AC74" s="63" t="e">
        <f t="shared" si="93"/>
        <v>#NUM!</v>
      </c>
      <c r="AD74" s="1">
        <f t="shared" si="105"/>
        <v>9.8204010537769921</v>
      </c>
      <c r="AE74" s="1">
        <f t="shared" si="68"/>
        <v>0.42201717028665642</v>
      </c>
      <c r="AF74" s="1">
        <f t="shared" si="101"/>
        <v>1000</v>
      </c>
      <c r="AG74" s="1">
        <f t="shared" si="102"/>
        <v>999.87004380852352</v>
      </c>
      <c r="AH74" s="1">
        <f t="shared" si="103"/>
        <v>972.98487357038664</v>
      </c>
      <c r="AP74" s="1">
        <v>1</v>
      </c>
      <c r="AQ74" s="1">
        <f t="shared" si="106"/>
        <v>75.637257804039024</v>
      </c>
      <c r="AR74" s="1">
        <f t="shared" si="104"/>
        <v>77.375883406633932</v>
      </c>
      <c r="AS74" s="1">
        <f t="shared" si="104"/>
        <v>70.172274566119825</v>
      </c>
      <c r="AT74" s="1">
        <f t="shared" si="104"/>
        <v>68.843937994390515</v>
      </c>
      <c r="AU74" s="1">
        <f t="shared" si="104"/>
        <v>66.395464428991431</v>
      </c>
      <c r="AV74" s="1">
        <f t="shared" si="104"/>
        <v>59.762171313331095</v>
      </c>
      <c r="AW74" s="1">
        <f t="shared" si="104"/>
        <v>20.240350876525426</v>
      </c>
      <c r="AZ74" s="61">
        <v>60</v>
      </c>
      <c r="BA74" s="61">
        <v>12</v>
      </c>
      <c r="BB74" s="61">
        <f t="shared" ref="BB74:BB79" si="107">AZ74/3.6/(BA74*BA74*3.14/4)</f>
        <v>0.14744043406463789</v>
      </c>
      <c r="BC74" s="61">
        <f t="shared" ref="BC74:BC79" si="108">28200/BA74^1.25*BB74^1.75</f>
        <v>44.294683424712957</v>
      </c>
      <c r="BD74" s="61">
        <f t="shared" ref="BD74:BD79" si="109">50*BC74/1000</f>
        <v>2.2147341712356479</v>
      </c>
      <c r="BE74" s="61">
        <f t="shared" ref="BE74:BE79" si="110">50/BB74/60</f>
        <v>5.6520000000000001</v>
      </c>
      <c r="BG74" s="61">
        <v>20</v>
      </c>
      <c r="BH74" s="61">
        <v>15</v>
      </c>
      <c r="CF74" s="47"/>
      <c r="CG74" s="47"/>
      <c r="CH74" s="47"/>
    </row>
    <row r="75" spans="1:86" ht="13.5" customHeight="1">
      <c r="A75" s="1">
        <v>6</v>
      </c>
      <c r="B75" s="3">
        <f t="shared" si="95"/>
        <v>1000</v>
      </c>
      <c r="C75" s="1">
        <f t="shared" si="96"/>
        <v>2.5000023809523809E-2</v>
      </c>
      <c r="D75" s="1">
        <f t="shared" si="97"/>
        <v>0.82758711502619375</v>
      </c>
      <c r="E75" s="1">
        <f t="shared" si="72"/>
        <v>74.061480486681987</v>
      </c>
      <c r="F75" s="3">
        <f t="shared" si="98"/>
        <v>20</v>
      </c>
      <c r="G75" s="1">
        <f t="shared" si="73"/>
        <v>978.69499283929861</v>
      </c>
      <c r="H75" s="1">
        <f t="shared" si="74"/>
        <v>64.740584670018023</v>
      </c>
      <c r="I75" s="1">
        <f t="shared" si="75"/>
        <v>239.99977142878913</v>
      </c>
      <c r="J75" s="3">
        <f t="shared" si="76"/>
        <v>24.494897427831781</v>
      </c>
      <c r="K75" s="47">
        <f t="shared" si="99"/>
        <v>0.15000014285714286</v>
      </c>
      <c r="L75" s="3">
        <f t="shared" si="77"/>
        <v>3</v>
      </c>
      <c r="M75" s="47">
        <f t="shared" si="78"/>
        <v>0.31847164088565366</v>
      </c>
      <c r="N75" s="47">
        <f t="shared" si="79"/>
        <v>209.95617470490646</v>
      </c>
      <c r="O75" s="1">
        <f t="shared" si="80"/>
        <v>0.99604622261797837</v>
      </c>
      <c r="P75" s="1">
        <f t="shared" si="81"/>
        <v>9.4199910285799717</v>
      </c>
      <c r="Q75" s="1">
        <f t="shared" si="82"/>
        <v>74.276076008388841</v>
      </c>
      <c r="R75" s="1">
        <f t="shared" si="83"/>
        <v>74.061480486681987</v>
      </c>
      <c r="S75" s="11">
        <f t="shared" si="84"/>
        <v>135.19530743263138</v>
      </c>
      <c r="T75" s="1">
        <f t="shared" si="100"/>
        <v>63.555713041168602</v>
      </c>
      <c r="U75" s="47">
        <f t="shared" si="85"/>
        <v>63.383503448088604</v>
      </c>
      <c r="V75" s="11">
        <f t="shared" si="86"/>
        <v>108.49214696615388</v>
      </c>
      <c r="W75" s="2">
        <f t="shared" si="87"/>
        <v>978.7049928392986</v>
      </c>
      <c r="X75" s="1">
        <f t="shared" si="88"/>
        <v>90.000085714285717</v>
      </c>
      <c r="Y75" s="1">
        <f t="shared" si="89"/>
        <v>-1.7786533759186318</v>
      </c>
      <c r="Z75" s="63" t="e">
        <f t="shared" si="90"/>
        <v>#NUM!</v>
      </c>
      <c r="AA75" s="3">
        <f t="shared" si="91"/>
        <v>1000</v>
      </c>
      <c r="AB75" s="64" t="e">
        <f t="shared" si="92"/>
        <v>#NUM!</v>
      </c>
      <c r="AC75" s="63" t="e">
        <f t="shared" si="93"/>
        <v>#NUM!</v>
      </c>
      <c r="AD75" s="1">
        <f t="shared" si="105"/>
        <v>10.240313403186805</v>
      </c>
      <c r="AE75" s="1">
        <f t="shared" si="68"/>
        <v>0.41220916778831973</v>
      </c>
      <c r="AF75" s="1">
        <f t="shared" si="101"/>
        <v>1000</v>
      </c>
      <c r="AG75" s="1">
        <f t="shared" si="102"/>
        <v>999.92354745628938</v>
      </c>
      <c r="AH75" s="1">
        <f t="shared" si="103"/>
        <v>978.7049928392986</v>
      </c>
      <c r="AP75" s="1">
        <v>1.25</v>
      </c>
      <c r="AQ75" s="1">
        <f t="shared" si="106"/>
        <v>74.597069599788711</v>
      </c>
      <c r="AR75" s="1">
        <f t="shared" si="104"/>
        <v>76.73798643091402</v>
      </c>
      <c r="AS75" s="1">
        <f t="shared" si="104"/>
        <v>67.977976262521935</v>
      </c>
      <c r="AT75" s="1">
        <f t="shared" si="104"/>
        <v>66.395464428991431</v>
      </c>
      <c r="AU75" s="1">
        <f t="shared" si="104"/>
        <v>63.506745315327912</v>
      </c>
      <c r="AV75" s="1">
        <f t="shared" si="104"/>
        <v>55.875651993030161</v>
      </c>
      <c r="AW75" s="1">
        <f t="shared" si="104"/>
        <v>20.06046712574291</v>
      </c>
      <c r="AZ75" s="61">
        <v>90</v>
      </c>
      <c r="BA75" s="61">
        <v>12</v>
      </c>
      <c r="BB75" s="61">
        <f t="shared" si="107"/>
        <v>0.22116065109695682</v>
      </c>
      <c r="BC75" s="61">
        <f t="shared" si="108"/>
        <v>90.055720556627435</v>
      </c>
      <c r="BD75" s="61">
        <f t="shared" si="109"/>
        <v>4.5027860278313723</v>
      </c>
      <c r="BE75" s="61">
        <f t="shared" si="110"/>
        <v>3.7680000000000002</v>
      </c>
      <c r="BG75" s="61">
        <v>20</v>
      </c>
      <c r="BH75" s="61">
        <v>16</v>
      </c>
      <c r="CF75" s="47"/>
      <c r="CG75" s="47"/>
      <c r="CH75" s="47"/>
    </row>
    <row r="76" spans="1:86" ht="13.5" customHeight="1">
      <c r="A76" s="1">
        <v>7</v>
      </c>
      <c r="B76" s="3">
        <f t="shared" si="95"/>
        <v>1000</v>
      </c>
      <c r="C76" s="1">
        <f t="shared" si="96"/>
        <v>2.5000023809523809E-2</v>
      </c>
      <c r="D76" s="1">
        <f t="shared" si="97"/>
        <v>0.82735342819381896</v>
      </c>
      <c r="E76" s="1">
        <f t="shared" si="72"/>
        <v>74.276076008388841</v>
      </c>
      <c r="F76" s="3">
        <f t="shared" si="98"/>
        <v>20</v>
      </c>
      <c r="G76" s="1">
        <f t="shared" si="73"/>
        <v>983.91167472154996</v>
      </c>
      <c r="H76" s="1">
        <f t="shared" si="74"/>
        <v>64.9054975544488</v>
      </c>
      <c r="I76" s="1">
        <f t="shared" si="75"/>
        <v>239.99977142878913</v>
      </c>
      <c r="J76" s="3">
        <f t="shared" si="76"/>
        <v>26.457513110645905</v>
      </c>
      <c r="K76" s="47">
        <f t="shared" si="99"/>
        <v>0.17500016666666668</v>
      </c>
      <c r="L76" s="3">
        <f t="shared" si="77"/>
        <v>3</v>
      </c>
      <c r="M76" s="47">
        <f t="shared" si="78"/>
        <v>0.31847164088565366</v>
      </c>
      <c r="N76" s="47">
        <f t="shared" si="79"/>
        <v>190.37829811386371</v>
      </c>
      <c r="O76" s="1">
        <f t="shared" si="80"/>
        <v>0.99635943864194021</v>
      </c>
      <c r="P76" s="1">
        <f t="shared" si="81"/>
        <v>9.4199910285799717</v>
      </c>
      <c r="Q76" s="1">
        <f t="shared" si="82"/>
        <v>74.47439337993157</v>
      </c>
      <c r="R76" s="1">
        <f t="shared" si="83"/>
        <v>74.276076008388841</v>
      </c>
      <c r="S76" s="11">
        <f t="shared" si="84"/>
        <v>145.7634069060644</v>
      </c>
      <c r="T76" s="1">
        <f t="shared" si="100"/>
        <v>63.600931177568626</v>
      </c>
      <c r="U76" s="47">
        <f t="shared" si="85"/>
        <v>63.442199312348144</v>
      </c>
      <c r="V76" s="11">
        <f t="shared" si="86"/>
        <v>116.66803204935897</v>
      </c>
      <c r="W76" s="2">
        <f t="shared" si="87"/>
        <v>983.92167472154995</v>
      </c>
      <c r="X76" s="1">
        <f t="shared" si="88"/>
        <v>90.000085714285717</v>
      </c>
      <c r="Y76" s="1">
        <f t="shared" si="89"/>
        <v>-1.3587410265088189</v>
      </c>
      <c r="Z76" s="63" t="e">
        <f t="shared" si="90"/>
        <v>#NUM!</v>
      </c>
      <c r="AA76" s="3">
        <f t="shared" si="91"/>
        <v>1000</v>
      </c>
      <c r="AB76" s="64" t="e">
        <f t="shared" si="92"/>
        <v>#NUM!</v>
      </c>
      <c r="AC76" s="63" t="e">
        <f t="shared" si="93"/>
        <v>#NUM!</v>
      </c>
      <c r="AD76" s="1">
        <f t="shared" si="105"/>
        <v>10.621069999414532</v>
      </c>
      <c r="AE76" s="1" t="s">
        <v>1</v>
      </c>
      <c r="AF76" s="1">
        <f t="shared" si="101"/>
        <v>1000</v>
      </c>
      <c r="AG76" s="1">
        <f t="shared" si="102"/>
        <v>999.96052543417136</v>
      </c>
      <c r="AH76" s="1">
        <f t="shared" si="103"/>
        <v>983.92167472154995</v>
      </c>
      <c r="AP76" s="1">
        <v>1.5</v>
      </c>
      <c r="AQ76" s="1">
        <f t="shared" si="106"/>
        <v>73.576328642634451</v>
      </c>
      <c r="AR76" s="1">
        <f t="shared" si="104"/>
        <v>76.107181503760017</v>
      </c>
      <c r="AS76" s="1">
        <f t="shared" si="104"/>
        <v>65.879646202078476</v>
      </c>
      <c r="AT76" s="1">
        <f t="shared" si="104"/>
        <v>64.069729181726046</v>
      </c>
      <c r="AU76" s="1">
        <f t="shared" si="104"/>
        <v>60.797886414733632</v>
      </c>
      <c r="AV76" s="1">
        <f t="shared" si="104"/>
        <v>52.369017169177958</v>
      </c>
      <c r="AW76" s="1">
        <f t="shared" si="104"/>
        <v>20.015212232002085</v>
      </c>
      <c r="AZ76" s="61">
        <v>120</v>
      </c>
      <c r="BA76" s="61">
        <v>12</v>
      </c>
      <c r="BB76" s="61">
        <f t="shared" si="107"/>
        <v>0.29488086812927577</v>
      </c>
      <c r="BC76" s="61">
        <f t="shared" si="108"/>
        <v>148.98896202655709</v>
      </c>
      <c r="BD76" s="61">
        <f t="shared" si="109"/>
        <v>7.4494481013278548</v>
      </c>
      <c r="BE76" s="61">
        <f t="shared" si="110"/>
        <v>2.8260000000000001</v>
      </c>
      <c r="BG76" s="61">
        <v>26</v>
      </c>
      <c r="BH76" s="61">
        <v>20</v>
      </c>
      <c r="CF76" s="47"/>
      <c r="CG76" s="47"/>
      <c r="CH76" s="47"/>
    </row>
    <row r="77" spans="1:86" ht="13.5" customHeight="1">
      <c r="A77" s="1">
        <v>8</v>
      </c>
      <c r="B77" s="3">
        <f t="shared" si="95"/>
        <v>1000</v>
      </c>
      <c r="C77" s="1">
        <f t="shared" si="96"/>
        <v>2.5000023809523809E-2</v>
      </c>
      <c r="D77" s="1">
        <f t="shared" si="97"/>
        <v>0.82713752635219473</v>
      </c>
      <c r="E77" s="1">
        <f t="shared" si="72"/>
        <v>74.47439337993157</v>
      </c>
      <c r="F77" s="3">
        <f t="shared" si="98"/>
        <v>20</v>
      </c>
      <c r="G77" s="1">
        <f t="shared" si="73"/>
        <v>988.74167262029187</v>
      </c>
      <c r="H77" s="1">
        <f t="shared" si="74"/>
        <v>65.057814989812968</v>
      </c>
      <c r="I77" s="1">
        <f t="shared" si="75"/>
        <v>239.99977142878913</v>
      </c>
      <c r="J77" s="3">
        <f t="shared" si="76"/>
        <v>28.284271247461902</v>
      </c>
      <c r="K77" s="47">
        <f t="shared" si="99"/>
        <v>0.2000001904761905</v>
      </c>
      <c r="L77" s="3">
        <f t="shared" si="77"/>
        <v>3</v>
      </c>
      <c r="M77" s="47">
        <f t="shared" si="78"/>
        <v>0.31847164088565361</v>
      </c>
      <c r="N77" s="47">
        <f t="shared" si="79"/>
        <v>174.90110520104352</v>
      </c>
      <c r="O77" s="1">
        <f t="shared" si="80"/>
        <v>0.99660959896365831</v>
      </c>
      <c r="P77" s="1">
        <f t="shared" si="81"/>
        <v>9.4199910285799735</v>
      </c>
      <c r="Q77" s="1">
        <f t="shared" si="82"/>
        <v>74.659711723204055</v>
      </c>
      <c r="R77" s="1">
        <f t="shared" si="83"/>
        <v>74.47439337993157</v>
      </c>
      <c r="S77" s="11">
        <f t="shared" si="84"/>
        <v>155.66755660356566</v>
      </c>
      <c r="T77" s="1">
        <f t="shared" si="100"/>
        <v>63.644151272031245</v>
      </c>
      <c r="U77" s="47">
        <f t="shared" si="85"/>
        <v>63.496180096328295</v>
      </c>
      <c r="V77" s="11">
        <f t="shared" si="86"/>
        <v>124.29590596741726</v>
      </c>
      <c r="W77" s="2">
        <f t="shared" si="87"/>
        <v>988.75167262029186</v>
      </c>
      <c r="X77" s="1">
        <f t="shared" si="88"/>
        <v>90.000085714285717</v>
      </c>
      <c r="Y77" s="1">
        <f t="shared" si="89"/>
        <v>-0.97798443028109161</v>
      </c>
      <c r="Z77" s="63" t="e">
        <f t="shared" si="90"/>
        <v>#NUM!</v>
      </c>
      <c r="AA77" s="3">
        <f t="shared" si="91"/>
        <v>1000</v>
      </c>
      <c r="AB77" s="64" t="e">
        <f t="shared" si="92"/>
        <v>#NUM!</v>
      </c>
      <c r="AC77" s="63" t="e">
        <f t="shared" si="93"/>
        <v>#NUM!</v>
      </c>
      <c r="AD77" s="1">
        <f t="shared" si="105"/>
        <v>10.970872209816619</v>
      </c>
      <c r="AE77" s="1">
        <f t="shared" ref="AE77:AE86" si="111">Y26</f>
        <v>6.0000000000000053</v>
      </c>
      <c r="AF77" s="1">
        <f t="shared" si="101"/>
        <v>1000</v>
      </c>
      <c r="AG77" s="1">
        <f t="shared" si="102"/>
        <v>999.98602829246579</v>
      </c>
      <c r="AH77" s="1">
        <f t="shared" si="103"/>
        <v>988.75167262029186</v>
      </c>
      <c r="AP77" s="1">
        <v>1.75</v>
      </c>
      <c r="AQ77" s="1">
        <f t="shared" si="106"/>
        <v>72.574671348930423</v>
      </c>
      <c r="AR77" s="1">
        <f t="shared" si="104"/>
        <v>75.483389776776704</v>
      </c>
      <c r="AS77" s="1">
        <f t="shared" si="104"/>
        <v>63.873087187134495</v>
      </c>
      <c r="AT77" s="1">
        <f t="shared" si="104"/>
        <v>61.860579564261862</v>
      </c>
      <c r="AU77" s="1">
        <f t="shared" si="104"/>
        <v>58.257689097306397</v>
      </c>
      <c r="AV77" s="1">
        <f t="shared" si="104"/>
        <v>49.205135357598301</v>
      </c>
      <c r="AW77" s="1">
        <f t="shared" si="104"/>
        <v>20.003827071315893</v>
      </c>
      <c r="AZ77" s="61">
        <v>150</v>
      </c>
      <c r="BA77" s="61">
        <v>12</v>
      </c>
      <c r="BB77" s="61">
        <f t="shared" si="107"/>
        <v>0.36860108516159468</v>
      </c>
      <c r="BC77" s="61">
        <f t="shared" si="108"/>
        <v>220.164157297983</v>
      </c>
      <c r="BD77" s="61">
        <f t="shared" si="109"/>
        <v>11.00820786489915</v>
      </c>
      <c r="BE77" s="61">
        <f t="shared" si="110"/>
        <v>2.2608000000000006</v>
      </c>
      <c r="BG77" s="61">
        <v>32</v>
      </c>
      <c r="BH77" s="61">
        <v>26</v>
      </c>
      <c r="CF77" s="47"/>
      <c r="CG77" s="47"/>
      <c r="CH77" s="47"/>
    </row>
    <row r="78" spans="1:86" ht="13.5" customHeight="1">
      <c r="A78" s="1">
        <v>9</v>
      </c>
      <c r="B78" s="3">
        <f t="shared" si="95"/>
        <v>1000</v>
      </c>
      <c r="C78" s="1">
        <f t="shared" si="96"/>
        <v>2.5000023809523809E-2</v>
      </c>
      <c r="D78" s="1">
        <f t="shared" si="97"/>
        <v>0.82693582706350133</v>
      </c>
      <c r="E78" s="1">
        <f t="shared" si="72"/>
        <v>74.659711723204055</v>
      </c>
      <c r="F78" s="3">
        <f t="shared" si="98"/>
        <v>20</v>
      </c>
      <c r="G78" s="1">
        <f t="shared" si="73"/>
        <v>993.26291520777397</v>
      </c>
      <c r="H78" s="1">
        <f t="shared" si="74"/>
        <v>65.2000739208803</v>
      </c>
      <c r="I78" s="1">
        <f t="shared" si="75"/>
        <v>239.99977142878913</v>
      </c>
      <c r="J78" s="3">
        <f t="shared" si="76"/>
        <v>30</v>
      </c>
      <c r="K78" s="47">
        <f t="shared" si="99"/>
        <v>0.22500021428571432</v>
      </c>
      <c r="L78" s="3">
        <f t="shared" si="77"/>
        <v>3</v>
      </c>
      <c r="M78" s="47">
        <f t="shared" si="78"/>
        <v>0.31847164088565366</v>
      </c>
      <c r="N78" s="47">
        <f t="shared" si="79"/>
        <v>162.29707844576296</v>
      </c>
      <c r="O78" s="1">
        <f t="shared" si="80"/>
        <v>0.99681524389691367</v>
      </c>
      <c r="P78" s="1">
        <f t="shared" si="81"/>
        <v>9.4199910285799717</v>
      </c>
      <c r="Q78" s="1">
        <f t="shared" si="82"/>
        <v>74.834345740459725</v>
      </c>
      <c r="R78" s="1">
        <f t="shared" si="83"/>
        <v>74.659711723204055</v>
      </c>
      <c r="S78" s="11">
        <f t="shared" si="84"/>
        <v>165.02930347722835</v>
      </c>
      <c r="T78" s="1">
        <f t="shared" si="100"/>
        <v>63.685501632389624</v>
      </c>
      <c r="U78" s="47">
        <f t="shared" si="85"/>
        <v>63.546373964449486</v>
      </c>
      <c r="V78" s="11">
        <f t="shared" si="86"/>
        <v>131.47577141833403</v>
      </c>
      <c r="W78" s="2">
        <f t="shared" si="87"/>
        <v>993.27291520777396</v>
      </c>
      <c r="X78" s="1">
        <f t="shared" si="88"/>
        <v>90.000085714285717</v>
      </c>
      <c r="Y78" s="1">
        <f t="shared" si="89"/>
        <v>-0.62818221987900458</v>
      </c>
      <c r="Z78" s="63" t="e">
        <f t="shared" si="90"/>
        <v>#NUM!</v>
      </c>
      <c r="AA78" s="3">
        <f t="shared" si="91"/>
        <v>1000</v>
      </c>
      <c r="AB78" s="64" t="e">
        <f t="shared" si="92"/>
        <v>#NUM!</v>
      </c>
      <c r="AC78" s="63" t="e">
        <f t="shared" si="93"/>
        <v>#NUM!</v>
      </c>
      <c r="AD78" s="1">
        <f t="shared" si="105"/>
        <v>11.295466366708146</v>
      </c>
      <c r="AE78" s="1">
        <f t="shared" si="111"/>
        <v>9.8880739451401407</v>
      </c>
      <c r="AF78" s="1">
        <f t="shared" si="101"/>
        <v>1000</v>
      </c>
      <c r="AG78" s="1">
        <f t="shared" si="102"/>
        <v>1000.0033014728172</v>
      </c>
      <c r="AH78" s="1">
        <f t="shared" si="103"/>
        <v>993.27291520777396</v>
      </c>
      <c r="AP78" s="1">
        <v>2</v>
      </c>
      <c r="AQ78" s="1">
        <f t="shared" si="106"/>
        <v>71.591740932551716</v>
      </c>
      <c r="AR78" s="1">
        <f t="shared" si="104"/>
        <v>74.866533278194169</v>
      </c>
      <c r="AS78" s="1">
        <f t="shared" si="104"/>
        <v>61.954285585635226</v>
      </c>
      <c r="AT78" s="1">
        <f t="shared" si="104"/>
        <v>59.762171313331095</v>
      </c>
      <c r="AU78" s="1">
        <f t="shared" si="104"/>
        <v>55.875651993030161</v>
      </c>
      <c r="AV78" s="1">
        <f t="shared" si="104"/>
        <v>46.350504459178168</v>
      </c>
      <c r="AW78" s="1">
        <f t="shared" si="104"/>
        <v>20.000962809064109</v>
      </c>
      <c r="AZ78" s="61">
        <v>180</v>
      </c>
      <c r="BA78" s="61">
        <v>12</v>
      </c>
      <c r="BB78" s="61">
        <f t="shared" si="107"/>
        <v>0.44232130219391363</v>
      </c>
      <c r="BC78" s="61">
        <f t="shared" si="108"/>
        <v>302.91013035663309</v>
      </c>
      <c r="BD78" s="61">
        <f t="shared" si="109"/>
        <v>15.145506517831654</v>
      </c>
      <c r="BE78" s="61">
        <f t="shared" si="110"/>
        <v>1.8840000000000001</v>
      </c>
    </row>
    <row r="79" spans="1:86" ht="13.5" customHeight="1">
      <c r="A79" s="1">
        <v>10</v>
      </c>
      <c r="B79" s="3">
        <f t="shared" si="95"/>
        <v>1000</v>
      </c>
      <c r="C79" s="1">
        <f t="shared" si="96"/>
        <v>2.5000023809523809E-2</v>
      </c>
      <c r="D79" s="1">
        <f t="shared" si="97"/>
        <v>0.8267458015395055</v>
      </c>
      <c r="E79" s="1">
        <f t="shared" si="72"/>
        <v>74.834345740459725</v>
      </c>
      <c r="F79" s="3">
        <f t="shared" si="98"/>
        <v>20</v>
      </c>
      <c r="G79" s="1">
        <f t="shared" si="73"/>
        <v>997.53041506180477</v>
      </c>
      <c r="H79" s="1">
        <f t="shared" si="74"/>
        <v>65.334065121090745</v>
      </c>
      <c r="I79" s="1">
        <f t="shared" si="75"/>
        <v>239.99977142878913</v>
      </c>
      <c r="J79" s="3">
        <f t="shared" si="76"/>
        <v>31.622776601683793</v>
      </c>
      <c r="K79" s="47">
        <f t="shared" si="99"/>
        <v>0.25000023809523814</v>
      </c>
      <c r="L79" s="3">
        <f t="shared" si="77"/>
        <v>3</v>
      </c>
      <c r="M79" s="47">
        <f t="shared" si="78"/>
        <v>0.31847164088565366</v>
      </c>
      <c r="N79" s="47">
        <f t="shared" si="79"/>
        <v>151.79403149373931</v>
      </c>
      <c r="O79" s="1">
        <f t="shared" si="80"/>
        <v>0.99698810437199492</v>
      </c>
      <c r="P79" s="1">
        <f t="shared" si="81"/>
        <v>9.4199910285799717</v>
      </c>
      <c r="Q79" s="1">
        <f>R36</f>
        <v>75</v>
      </c>
      <c r="R79" s="1">
        <f t="shared" si="83"/>
        <v>74.834345740459725</v>
      </c>
      <c r="S79" s="11">
        <f t="shared" si="84"/>
        <v>173.9371381715529</v>
      </c>
      <c r="T79" s="1">
        <f t="shared" si="100"/>
        <v>63.725143080113611</v>
      </c>
      <c r="U79" s="47">
        <f t="shared" si="85"/>
        <v>63.593447512836718</v>
      </c>
      <c r="V79" s="11">
        <f t="shared" si="86"/>
        <v>138.28047733630257</v>
      </c>
      <c r="W79" s="2">
        <f t="shared" si="87"/>
        <v>997.54041506180477</v>
      </c>
      <c r="X79" s="1">
        <f t="shared" si="88"/>
        <v>90.000085714285717</v>
      </c>
      <c r="Y79" s="1">
        <f>Y36-2*N79/1000</f>
        <v>-0.30358806298747865</v>
      </c>
      <c r="Z79" s="63" t="e">
        <f t="shared" si="90"/>
        <v>#NUM!</v>
      </c>
      <c r="AA79" s="3">
        <f t="shared" si="91"/>
        <v>1000</v>
      </c>
      <c r="AB79" s="64" t="e">
        <f t="shared" si="92"/>
        <v>#NUM!</v>
      </c>
      <c r="AC79" s="63" t="e">
        <f t="shared" si="93"/>
        <v>#NUM!</v>
      </c>
      <c r="AD79" s="1">
        <f t="shared" si="105"/>
        <v>11.599054429695624</v>
      </c>
      <c r="AE79" s="1">
        <f t="shared" si="111"/>
        <v>12.102033768134351</v>
      </c>
      <c r="AF79" s="1">
        <f t="shared" si="101"/>
        <v>1000</v>
      </c>
      <c r="AG79" s="1">
        <f t="shared" si="102"/>
        <v>1000.014545164959</v>
      </c>
      <c r="AH79" s="1">
        <f t="shared" si="103"/>
        <v>997.54041506180477</v>
      </c>
      <c r="AP79" s="1">
        <v>2.25</v>
      </c>
      <c r="AQ79" s="1">
        <f t="shared" si="106"/>
        <v>70.627187277808446</v>
      </c>
      <c r="AR79" s="1">
        <f t="shared" si="104"/>
        <v>74.256534903121661</v>
      </c>
      <c r="AS79" s="1">
        <f t="shared" si="104"/>
        <v>60.119403302833824</v>
      </c>
      <c r="AT79" s="1">
        <f t="shared" si="104"/>
        <v>57.768953129843482</v>
      </c>
      <c r="AU79" s="1">
        <f t="shared" si="104"/>
        <v>53.641927578308099</v>
      </c>
      <c r="AV79" s="1">
        <f t="shared" si="104"/>
        <v>43.774897008738563</v>
      </c>
      <c r="AW79" s="1">
        <f t="shared" si="104"/>
        <v>20.000242222111222</v>
      </c>
      <c r="AZ79" s="61">
        <v>240</v>
      </c>
      <c r="BA79" s="61">
        <v>12</v>
      </c>
      <c r="BB79" s="61">
        <f t="shared" si="107"/>
        <v>0.58976173625855155</v>
      </c>
      <c r="BC79" s="61">
        <f t="shared" si="108"/>
        <v>501.13713632201456</v>
      </c>
      <c r="BD79" s="61">
        <f t="shared" si="109"/>
        <v>25.056856816100726</v>
      </c>
      <c r="BE79" s="61">
        <f t="shared" si="110"/>
        <v>1.413</v>
      </c>
    </row>
    <row r="80" spans="1:86" ht="13.5" customHeight="1">
      <c r="B80" s="1" t="s">
        <v>313</v>
      </c>
      <c r="R80" s="1" t="s">
        <v>314</v>
      </c>
      <c r="U80" s="1" t="s">
        <v>315</v>
      </c>
      <c r="AE80" s="1">
        <f t="shared" si="111"/>
        <v>13.659737789928252</v>
      </c>
      <c r="AL80" s="2"/>
      <c r="AP80" s="1">
        <v>2.5</v>
      </c>
      <c r="AQ80" s="1">
        <f t="shared" si="106"/>
        <v>69.680666814736227</v>
      </c>
      <c r="AR80" s="1">
        <f t="shared" si="104"/>
        <v>73.653318403909708</v>
      </c>
      <c r="AS80" s="1">
        <f t="shared" si="104"/>
        <v>58.364770104118627</v>
      </c>
      <c r="AT80" s="1">
        <f t="shared" si="104"/>
        <v>55.875651993030161</v>
      </c>
      <c r="AU80" s="1">
        <f t="shared" si="104"/>
        <v>51.547281465546789</v>
      </c>
      <c r="AV80" s="1">
        <f t="shared" si="104"/>
        <v>41.451040098750155</v>
      </c>
      <c r="AW80" s="1">
        <f t="shared" si="104"/>
        <v>20.000060937888261</v>
      </c>
    </row>
    <row r="81" spans="1:49" ht="13.5" customHeight="1">
      <c r="A81" s="1">
        <v>1</v>
      </c>
      <c r="B81" s="1">
        <f t="shared" ref="B81:Y81" si="112">B980</f>
        <v>1000</v>
      </c>
      <c r="C81" s="1">
        <f t="shared" si="112"/>
        <v>4.5301201989433992E-2</v>
      </c>
      <c r="D81" s="1">
        <f t="shared" si="112"/>
        <v>0.9013719016497288</v>
      </c>
      <c r="E81" s="1">
        <f t="shared" si="112"/>
        <v>73.238673686621667</v>
      </c>
      <c r="F81" s="1">
        <f t="shared" si="112"/>
        <v>20</v>
      </c>
      <c r="G81" s="2">
        <f t="shared" si="112"/>
        <v>999.04926106678215</v>
      </c>
      <c r="H81" s="1">
        <f t="shared" si="112"/>
        <v>67.987844542219548</v>
      </c>
      <c r="I81" s="1">
        <f t="shared" si="112"/>
        <v>132.44681678423089</v>
      </c>
      <c r="J81" s="1">
        <f t="shared" si="112"/>
        <v>10</v>
      </c>
      <c r="K81" s="1">
        <f t="shared" si="112"/>
        <v>4.5301201989433992E-2</v>
      </c>
      <c r="L81" s="1">
        <f t="shared" si="112"/>
        <v>3</v>
      </c>
      <c r="M81" s="1">
        <f t="shared" si="112"/>
        <v>0.57708537566157947</v>
      </c>
      <c r="N81" s="1">
        <f t="shared" si="112"/>
        <v>1944.0369725700677</v>
      </c>
      <c r="O81" s="1">
        <f t="shared" si="112"/>
        <v>0.99407642816294539</v>
      </c>
      <c r="P81" s="1">
        <f t="shared" si="112"/>
        <v>5.1985375587810632</v>
      </c>
      <c r="Q81" s="1">
        <f t="shared" si="112"/>
        <v>73.555916002360917</v>
      </c>
      <c r="R81" s="1">
        <f t="shared" si="112"/>
        <v>73.238673686621667</v>
      </c>
      <c r="S81" s="2">
        <f t="shared" si="112"/>
        <v>60.360124544577637</v>
      </c>
      <c r="T81" s="1">
        <f t="shared" si="112"/>
        <v>67.987844542219548</v>
      </c>
      <c r="U81" s="1">
        <f t="shared" si="112"/>
        <v>67.703585097768297</v>
      </c>
      <c r="V81" s="2">
        <f t="shared" si="112"/>
        <v>54.084636944058857</v>
      </c>
      <c r="W81" s="2">
        <f t="shared" si="112"/>
        <v>999.05926106678214</v>
      </c>
      <c r="X81" s="2">
        <f t="shared" si="112"/>
        <v>163.08432716196236</v>
      </c>
      <c r="Y81" s="1">
        <f t="shared" si="112"/>
        <v>6.0000000000000053</v>
      </c>
      <c r="Z81" s="65">
        <f t="shared" ref="Z81:Z90" si="113">IF(LOG10(Y81/X81/X81)&lt;-2.875,3.5+(-2.875-LOG10(Y81/X81/X81))*$BR$18,3.5+(-2.875-LOG10(Y81/X81/X81))*$BR$19)</f>
        <v>5.7378522857875636</v>
      </c>
      <c r="AA81" s="66"/>
      <c r="AB81" s="66">
        <f t="shared" ref="AB81:AB90" si="114">X81/1000/SQRT(Y81/104)</f>
        <v>0.67897419779773593</v>
      </c>
      <c r="AC81" s="65">
        <f t="shared" ref="AC81:AC90" si="115">IF(LOG10(Y81/X81/X81)&lt;-3.003,3+(-3.003-LOG10(Y81/X81/X81))*$BF$6,3+(-3.003-LOG10(Y81/X81/X81))*$BF$7)</f>
        <v>7.1195084927725532</v>
      </c>
      <c r="AD81" s="1">
        <f>Y$37+N81/1000*2</f>
        <v>9.8880739451401354</v>
      </c>
      <c r="AE81" s="1">
        <f t="shared" si="111"/>
        <v>14.859988564373891</v>
      </c>
      <c r="AP81" s="1">
        <v>2.75</v>
      </c>
      <c r="AQ81" s="1">
        <f t="shared" si="106"/>
        <v>68.751842396717777</v>
      </c>
      <c r="AR81" s="1">
        <f t="shared" si="104"/>
        <v>73.056808380619415</v>
      </c>
      <c r="AS81" s="1">
        <f t="shared" si="104"/>
        <v>56.686876273603758</v>
      </c>
      <c r="AT81" s="1">
        <f t="shared" si="104"/>
        <v>54.077259210767629</v>
      </c>
      <c r="AU81" s="1">
        <f t="shared" si="104"/>
        <v>49.583054227491544</v>
      </c>
      <c r="AV81" s="1">
        <f t="shared" si="104"/>
        <v>39.354326588630784</v>
      </c>
      <c r="AW81" s="1">
        <f t="shared" si="104"/>
        <v>20.000015330665754</v>
      </c>
    </row>
    <row r="82" spans="1:49" ht="13.5" customHeight="1">
      <c r="A82" s="1">
        <v>2</v>
      </c>
      <c r="B82" s="1">
        <f t="shared" ref="B82:Y82" si="116">B981</f>
        <v>1000</v>
      </c>
      <c r="C82" s="1">
        <f t="shared" si="116"/>
        <v>3.9412474098153995E-2</v>
      </c>
      <c r="D82" s="1">
        <f t="shared" si="116"/>
        <v>0.88726037557415383</v>
      </c>
      <c r="E82" s="1">
        <f t="shared" si="116"/>
        <v>73.555916002360917</v>
      </c>
      <c r="F82" s="1">
        <f t="shared" si="116"/>
        <v>20</v>
      </c>
      <c r="G82" s="2">
        <f t="shared" si="116"/>
        <v>999.46369720310474</v>
      </c>
      <c r="H82" s="1">
        <f t="shared" si="116"/>
        <v>67.518042146472581</v>
      </c>
      <c r="I82" s="1">
        <f t="shared" si="116"/>
        <v>152.2360657962609</v>
      </c>
      <c r="J82" s="1">
        <f t="shared" si="116"/>
        <v>14.142135623730951</v>
      </c>
      <c r="K82" s="1">
        <f t="shared" si="116"/>
        <v>8.471367608758798E-2</v>
      </c>
      <c r="L82" s="1">
        <f t="shared" si="116"/>
        <v>3</v>
      </c>
      <c r="M82" s="1">
        <f t="shared" si="116"/>
        <v>0.5395775546980125</v>
      </c>
      <c r="N82" s="1">
        <f t="shared" si="116"/>
        <v>1106.9799114971051</v>
      </c>
      <c r="O82" s="1">
        <f t="shared" si="116"/>
        <v>0.99573536984174549</v>
      </c>
      <c r="P82" s="1">
        <f t="shared" si="116"/>
        <v>5.5599051033155407</v>
      </c>
      <c r="Q82" s="1">
        <f t="shared" si="116"/>
        <v>73.785290373759324</v>
      </c>
      <c r="R82" s="1">
        <f t="shared" si="116"/>
        <v>73.555916002360917</v>
      </c>
      <c r="S82" s="2">
        <f t="shared" si="116"/>
        <v>81.61081404604387</v>
      </c>
      <c r="T82" s="1">
        <f t="shared" si="116"/>
        <v>67.617262474317542</v>
      </c>
      <c r="U82" s="1">
        <f t="shared" si="116"/>
        <v>67.414192460716038</v>
      </c>
      <c r="V82" s="2">
        <f t="shared" si="116"/>
        <v>72.251790892424523</v>
      </c>
      <c r="W82" s="2">
        <f t="shared" si="116"/>
        <v>999.47369720310473</v>
      </c>
      <c r="X82" s="2">
        <f t="shared" si="116"/>
        <v>141.88490675335439</v>
      </c>
      <c r="Y82" s="1">
        <f t="shared" si="116"/>
        <v>9.8880739451401407</v>
      </c>
      <c r="Z82" s="65">
        <f t="shared" si="113"/>
        <v>4.7579060088487033</v>
      </c>
      <c r="AA82" s="66"/>
      <c r="AB82" s="66">
        <f t="shared" si="114"/>
        <v>0.46014744614747599</v>
      </c>
      <c r="AC82" s="65">
        <f t="shared" si="115"/>
        <v>4.9568684333212758</v>
      </c>
      <c r="AD82" s="1">
        <f>AD81+N82/1000*2</f>
        <v>12.102033768134346</v>
      </c>
      <c r="AE82" s="1">
        <f t="shared" si="111"/>
        <v>15.833683043767978</v>
      </c>
      <c r="AP82" s="1">
        <v>3</v>
      </c>
      <c r="AQ82" s="1">
        <f t="shared" si="106"/>
        <v>67.840383180392877</v>
      </c>
      <c r="AR82" s="1">
        <f t="shared" si="104"/>
        <v>72.466930271597818</v>
      </c>
      <c r="AS82" s="1">
        <f t="shared" si="104"/>
        <v>55.082365593798229</v>
      </c>
      <c r="AT82" s="1">
        <f t="shared" si="104"/>
        <v>52.369017169177958</v>
      </c>
      <c r="AU82" s="1">
        <f t="shared" si="104"/>
        <v>47.741125598491777</v>
      </c>
      <c r="AV82" s="1">
        <f t="shared" si="104"/>
        <v>37.462554541642291</v>
      </c>
      <c r="AW82" s="1">
        <f t="shared" si="104"/>
        <v>20.000003856866709</v>
      </c>
    </row>
    <row r="83" spans="1:49" ht="13.5" customHeight="1">
      <c r="A83" s="1">
        <v>3</v>
      </c>
      <c r="B83" s="1">
        <f t="shared" ref="B83:Y83" si="117">B982</f>
        <v>1000</v>
      </c>
      <c r="C83" s="1">
        <f t="shared" si="117"/>
        <v>3.5987965848211165E-2</v>
      </c>
      <c r="D83" s="1">
        <f t="shared" si="117"/>
        <v>0.87703457010075414</v>
      </c>
      <c r="E83" s="1">
        <f t="shared" si="117"/>
        <v>73.785290373759324</v>
      </c>
      <c r="F83" s="1">
        <f t="shared" si="117"/>
        <v>20</v>
      </c>
      <c r="G83" s="2">
        <f t="shared" si="117"/>
        <v>999.66189986606867</v>
      </c>
      <c r="H83" s="1">
        <f t="shared" si="117"/>
        <v>67.171559020694247</v>
      </c>
      <c r="I83" s="1">
        <f t="shared" si="117"/>
        <v>166.72239896265876</v>
      </c>
      <c r="J83" s="1">
        <f t="shared" si="117"/>
        <v>17.320508075688775</v>
      </c>
      <c r="K83" s="1">
        <f t="shared" si="117"/>
        <v>0.12070164193579914</v>
      </c>
      <c r="L83" s="1">
        <f t="shared" si="117"/>
        <v>3</v>
      </c>
      <c r="M83" s="1">
        <f t="shared" si="117"/>
        <v>0.51253351140466707</v>
      </c>
      <c r="N83" s="1">
        <f t="shared" si="117"/>
        <v>778.8520108969509</v>
      </c>
      <c r="O83" s="1">
        <f t="shared" si="117"/>
        <v>0.9964163331483975</v>
      </c>
      <c r="P83" s="1">
        <f t="shared" si="117"/>
        <v>5.853275801962873</v>
      </c>
      <c r="Q83" s="1">
        <f t="shared" si="117"/>
        <v>73.978732166917439</v>
      </c>
      <c r="R83" s="1">
        <f t="shared" si="117"/>
        <v>73.785290373759324</v>
      </c>
      <c r="S83" s="2">
        <f t="shared" si="117"/>
        <v>98.064716623395</v>
      </c>
      <c r="T83" s="1">
        <f t="shared" si="117"/>
        <v>67.341849750102526</v>
      </c>
      <c r="U83" s="1">
        <f t="shared" si="117"/>
        <v>67.172192332459531</v>
      </c>
      <c r="V83" s="2">
        <f t="shared" si="117"/>
        <v>86.007301279604505</v>
      </c>
      <c r="W83" s="2">
        <f t="shared" si="117"/>
        <v>999.67189986606866</v>
      </c>
      <c r="X83" s="2">
        <f t="shared" si="117"/>
        <v>129.55667705356018</v>
      </c>
      <c r="Y83" s="1">
        <f t="shared" si="117"/>
        <v>12.102033768134351</v>
      </c>
      <c r="Z83" s="65">
        <f t="shared" si="113"/>
        <v>4.2744775973733038</v>
      </c>
      <c r="AA83" s="66"/>
      <c r="AB83" s="66">
        <f t="shared" si="114"/>
        <v>0.37979329202665996</v>
      </c>
      <c r="AC83" s="65">
        <f t="shared" si="115"/>
        <v>3.8899919390307387</v>
      </c>
      <c r="AD83" s="1">
        <f t="shared" ref="AD83:AD90" si="118">AD82+N83/1000*2</f>
        <v>13.659737789928247</v>
      </c>
      <c r="AE83" s="1">
        <f t="shared" si="111"/>
        <v>16.650446022078697</v>
      </c>
      <c r="AP83" s="1">
        <v>3.25</v>
      </c>
      <c r="AQ83" s="1">
        <f t="shared" si="106"/>
        <v>66.94596450781323</v>
      </c>
      <c r="AR83" s="1">
        <f t="shared" si="104"/>
        <v>71.883610344157887</v>
      </c>
      <c r="AS83" s="1">
        <f t="shared" si="104"/>
        <v>53.548028632311215</v>
      </c>
      <c r="AT83" s="1">
        <f t="shared" si="104"/>
        <v>50.746406746451946</v>
      </c>
      <c r="AU83" s="1">
        <f t="shared" si="104"/>
        <v>46.013880904701658</v>
      </c>
      <c r="AV83" s="1">
        <f t="shared" si="104"/>
        <v>35.755692130304425</v>
      </c>
      <c r="AW83" s="1">
        <f t="shared" si="104"/>
        <v>20.000000970304946</v>
      </c>
    </row>
    <row r="84" spans="1:49" ht="13.5" customHeight="1">
      <c r="A84" s="1">
        <v>4</v>
      </c>
      <c r="B84" s="1">
        <f t="shared" ref="B84:Y84" si="119">B983</f>
        <v>1000</v>
      </c>
      <c r="C84" s="1">
        <f t="shared" si="119"/>
        <v>3.3518101202659398E-2</v>
      </c>
      <c r="D84" s="1">
        <f t="shared" si="119"/>
        <v>0.86843095319484898</v>
      </c>
      <c r="E84" s="1">
        <f t="shared" si="119"/>
        <v>73.978732166917439</v>
      </c>
      <c r="F84" s="1">
        <f t="shared" si="119"/>
        <v>20</v>
      </c>
      <c r="G84" s="2">
        <f t="shared" si="119"/>
        <v>999.78152330794921</v>
      </c>
      <c r="H84" s="1">
        <f t="shared" si="119"/>
        <v>66.876801827965565</v>
      </c>
      <c r="I84" s="1">
        <f t="shared" si="119"/>
        <v>179.00775356343715</v>
      </c>
      <c r="J84" s="1">
        <f t="shared" si="119"/>
        <v>20</v>
      </c>
      <c r="K84" s="1">
        <f t="shared" si="119"/>
        <v>0.15421974313845854</v>
      </c>
      <c r="L84" s="1">
        <f t="shared" si="119"/>
        <v>3</v>
      </c>
      <c r="M84" s="1">
        <f t="shared" si="119"/>
        <v>0.49114567878489984</v>
      </c>
      <c r="N84" s="1">
        <f t="shared" si="119"/>
        <v>600.12538722281965</v>
      </c>
      <c r="O84" s="1">
        <f t="shared" si="119"/>
        <v>0.99680559676581049</v>
      </c>
      <c r="P84" s="1">
        <f t="shared" si="119"/>
        <v>6.1081673515321055</v>
      </c>
      <c r="Q84" s="1">
        <f t="shared" si="119"/>
        <v>74.151714579105843</v>
      </c>
      <c r="R84" s="1">
        <f t="shared" si="119"/>
        <v>73.978732166917439</v>
      </c>
      <c r="S84" s="2">
        <f t="shared" si="119"/>
        <v>112.04467333569926</v>
      </c>
      <c r="T84" s="1">
        <f t="shared" si="119"/>
        <v>67.107992194251253</v>
      </c>
      <c r="U84" s="1">
        <f t="shared" si="119"/>
        <v>66.957510271629758</v>
      </c>
      <c r="V84" s="2">
        <f t="shared" si="119"/>
        <v>97.470590505404189</v>
      </c>
      <c r="W84" s="2">
        <f t="shared" si="119"/>
        <v>999.79152330794921</v>
      </c>
      <c r="X84" s="2">
        <f t="shared" si="119"/>
        <v>120.66516432957383</v>
      </c>
      <c r="Y84" s="1">
        <f t="shared" si="119"/>
        <v>13.659737789928252</v>
      </c>
      <c r="Z84" s="65">
        <f t="shared" si="113"/>
        <v>3.9428922182812451</v>
      </c>
      <c r="AA84" s="66"/>
      <c r="AB84" s="66">
        <f t="shared" si="114"/>
        <v>0.33294875628119347</v>
      </c>
      <c r="AC84" s="65">
        <f t="shared" si="115"/>
        <v>3.1582173093103334</v>
      </c>
      <c r="AD84" s="1">
        <f t="shared" si="118"/>
        <v>14.859988564373886</v>
      </c>
      <c r="AE84" s="1">
        <f t="shared" si="111"/>
        <v>17.351924589632304</v>
      </c>
      <c r="AP84" s="1">
        <v>3.5</v>
      </c>
      <c r="AQ84" s="1">
        <f t="shared" si="106"/>
        <v>66.068267790800761</v>
      </c>
      <c r="AR84" s="1">
        <f t="shared" si="104"/>
        <v>71.306775685362169</v>
      </c>
      <c r="AS84" s="1">
        <f t="shared" si="104"/>
        <v>52.080796322165085</v>
      </c>
      <c r="AT84" s="1">
        <f t="shared" si="104"/>
        <v>49.205135357598301</v>
      </c>
      <c r="AU84" s="1">
        <f t="shared" si="104"/>
        <v>44.394179584435946</v>
      </c>
      <c r="AV84" s="1">
        <f t="shared" si="104"/>
        <v>34.215665520927303</v>
      </c>
      <c r="AW84" s="1">
        <f t="shared" si="104"/>
        <v>20.000000244107913</v>
      </c>
    </row>
    <row r="85" spans="1:49" ht="13.5" customHeight="1">
      <c r="A85" s="1">
        <v>5</v>
      </c>
      <c r="B85" s="1">
        <f t="shared" ref="B85:Y85" si="120">B984</f>
        <v>1000</v>
      </c>
      <c r="C85" s="1">
        <f t="shared" si="120"/>
        <v>3.1574739994475784E-2</v>
      </c>
      <c r="D85" s="1">
        <f t="shared" si="120"/>
        <v>0.8607683633910207</v>
      </c>
      <c r="E85" s="1">
        <f t="shared" si="120"/>
        <v>74.151714579105843</v>
      </c>
      <c r="F85" s="1">
        <f t="shared" si="120"/>
        <v>20</v>
      </c>
      <c r="G85" s="2">
        <f t="shared" si="120"/>
        <v>999.86004380852353</v>
      </c>
      <c r="H85" s="1">
        <f t="shared" si="120"/>
        <v>66.612082733074601</v>
      </c>
      <c r="I85" s="1">
        <f t="shared" si="120"/>
        <v>190.02531773974198</v>
      </c>
      <c r="J85" s="1">
        <f t="shared" si="120"/>
        <v>22.360679774997898</v>
      </c>
      <c r="K85" s="1">
        <f t="shared" si="120"/>
        <v>0.18579448313293434</v>
      </c>
      <c r="L85" s="1">
        <f t="shared" si="120"/>
        <v>3</v>
      </c>
      <c r="M85" s="1">
        <f t="shared" si="120"/>
        <v>0.47336174046607465</v>
      </c>
      <c r="N85" s="1">
        <f t="shared" si="120"/>
        <v>486.84723969704379</v>
      </c>
      <c r="O85" s="1">
        <f t="shared" si="120"/>
        <v>0.99706356912522653</v>
      </c>
      <c r="P85" s="1">
        <f t="shared" si="120"/>
        <v>6.3376478146421018</v>
      </c>
      <c r="Q85" s="1">
        <f t="shared" si="120"/>
        <v>74.311195650860896</v>
      </c>
      <c r="R85" s="1">
        <f t="shared" si="120"/>
        <v>74.151714579105843</v>
      </c>
      <c r="S85" s="2">
        <f t="shared" si="120"/>
        <v>124.44895384410714</v>
      </c>
      <c r="T85" s="1">
        <f t="shared" si="120"/>
        <v>66.898806780907648</v>
      </c>
      <c r="U85" s="1">
        <f t="shared" si="120"/>
        <v>66.761091676686164</v>
      </c>
      <c r="V85" s="2">
        <f t="shared" si="120"/>
        <v>107.46416775540753</v>
      </c>
      <c r="W85" s="2">
        <f t="shared" si="120"/>
        <v>999.87004380852352</v>
      </c>
      <c r="X85" s="2">
        <f t="shared" si="120"/>
        <v>113.66906398011282</v>
      </c>
      <c r="Y85" s="1">
        <f t="shared" si="120"/>
        <v>14.859988564373891</v>
      </c>
      <c r="Z85" s="65">
        <f t="shared" si="113"/>
        <v>3.6863716677326157</v>
      </c>
      <c r="AA85" s="66"/>
      <c r="AB85" s="66">
        <f t="shared" si="114"/>
        <v>0.30071127761540628</v>
      </c>
      <c r="AC85" s="65">
        <f t="shared" si="115"/>
        <v>2.8279184492682972</v>
      </c>
      <c r="AD85" s="1">
        <f t="shared" si="118"/>
        <v>15.833683043767973</v>
      </c>
      <c r="AE85" s="1">
        <f t="shared" si="111"/>
        <v>17.96508777664404</v>
      </c>
      <c r="AP85" s="1">
        <v>3.75</v>
      </c>
      <c r="AQ85" s="1">
        <f t="shared" si="106"/>
        <v>65.206980397467788</v>
      </c>
      <c r="AR85" s="1">
        <f t="shared" si="104"/>
        <v>70.736354192908962</v>
      </c>
      <c r="AS85" s="1">
        <f t="shared" si="104"/>
        <v>50.67773382287524</v>
      </c>
      <c r="AT85" s="1">
        <f t="shared" si="104"/>
        <v>47.741125598491784</v>
      </c>
      <c r="AU85" s="1">
        <f t="shared" si="104"/>
        <v>42.875325668541805</v>
      </c>
      <c r="AV85" s="1">
        <f t="shared" si="104"/>
        <v>32.826167491188265</v>
      </c>
      <c r="AW85" s="1">
        <f t="shared" si="104"/>
        <v>20.000000061412315</v>
      </c>
    </row>
    <row r="86" spans="1:49" ht="13.5" customHeight="1">
      <c r="A86" s="1">
        <v>6</v>
      </c>
      <c r="B86" s="1">
        <f t="shared" ref="B86:Y86" si="121">B985</f>
        <v>1000</v>
      </c>
      <c r="C86" s="1">
        <f t="shared" si="121"/>
        <v>2.9970498471220935E-2</v>
      </c>
      <c r="D86" s="1">
        <f t="shared" si="121"/>
        <v>0.85373856431673878</v>
      </c>
      <c r="E86" s="1">
        <f t="shared" si="121"/>
        <v>74.311195650860896</v>
      </c>
      <c r="F86" s="1">
        <f t="shared" si="121"/>
        <v>20</v>
      </c>
      <c r="G86" s="2">
        <f t="shared" si="121"/>
        <v>999.91354745628939</v>
      </c>
      <c r="H86" s="1">
        <f t="shared" si="121"/>
        <v>66.367562201291491</v>
      </c>
      <c r="I86" s="1">
        <f t="shared" si="121"/>
        <v>200.19687045784303</v>
      </c>
      <c r="J86" s="1">
        <f t="shared" si="121"/>
        <v>24.494897427831781</v>
      </c>
      <c r="K86" s="1">
        <f t="shared" si="121"/>
        <v>0.21576498160415528</v>
      </c>
      <c r="L86" s="1">
        <f t="shared" si="121"/>
        <v>3</v>
      </c>
      <c r="M86" s="1">
        <f t="shared" si="121"/>
        <v>0.45809974862877978</v>
      </c>
      <c r="N86" s="1">
        <f t="shared" si="121"/>
        <v>408.38148915535953</v>
      </c>
      <c r="O86" s="1">
        <f t="shared" si="121"/>
        <v>0.9972496688858169</v>
      </c>
      <c r="P86" s="1">
        <f t="shared" si="121"/>
        <v>6.5487920676224691</v>
      </c>
      <c r="Q86" s="1">
        <f t="shared" si="121"/>
        <v>74.460981382466031</v>
      </c>
      <c r="R86" s="1">
        <f t="shared" si="121"/>
        <v>74.311195650860896</v>
      </c>
      <c r="S86" s="2">
        <f t="shared" si="121"/>
        <v>135.73776562226419</v>
      </c>
      <c r="T86" s="1">
        <f t="shared" si="121"/>
        <v>66.706429078274653</v>
      </c>
      <c r="U86" s="1">
        <f t="shared" si="121"/>
        <v>66.577970933148293</v>
      </c>
      <c r="V86" s="2">
        <f t="shared" si="121"/>
        <v>116.41043114439518</v>
      </c>
      <c r="W86" s="2">
        <f t="shared" si="121"/>
        <v>999.92354745628938</v>
      </c>
      <c r="X86" s="2">
        <f t="shared" si="121"/>
        <v>107.89379449639537</v>
      </c>
      <c r="Y86" s="1">
        <f t="shared" si="121"/>
        <v>15.833683043767978</v>
      </c>
      <c r="Z86" s="65">
        <f t="shared" si="113"/>
        <v>3.4879753816906232</v>
      </c>
      <c r="AA86" s="66"/>
      <c r="AB86" s="66">
        <f t="shared" si="114"/>
        <v>0.27651720797339169</v>
      </c>
      <c r="AC86" s="65">
        <f t="shared" si="115"/>
        <v>2.6312096646890586</v>
      </c>
      <c r="AD86" s="1">
        <f t="shared" si="118"/>
        <v>16.650446022078693</v>
      </c>
      <c r="AE86" s="1">
        <f t="shared" si="111"/>
        <v>18.508432330629045</v>
      </c>
      <c r="AP86" s="1">
        <v>4</v>
      </c>
      <c r="AQ86" s="1">
        <f t="shared" si="106"/>
        <v>64.36179554085885</v>
      </c>
      <c r="AR86" s="1">
        <f t="shared" si="104"/>
        <v>70.172274566119825</v>
      </c>
      <c r="AS86" s="1">
        <f t="shared" si="104"/>
        <v>49.336034650017339</v>
      </c>
      <c r="AT86" s="1">
        <f t="shared" si="104"/>
        <v>46.350504459178168</v>
      </c>
      <c r="AU86" s="1">
        <f t="shared" si="104"/>
        <v>41.451040098750155</v>
      </c>
      <c r="AV86" s="1">
        <f t="shared" si="104"/>
        <v>31.572484754219477</v>
      </c>
      <c r="AW86" s="1">
        <f t="shared" si="104"/>
        <v>20.00000001545002</v>
      </c>
    </row>
    <row r="87" spans="1:49" ht="13.5" customHeight="1">
      <c r="A87" s="1">
        <v>7</v>
      </c>
      <c r="B87" s="1">
        <f t="shared" ref="B87:Y87" si="122">B986</f>
        <v>1000</v>
      </c>
      <c r="C87" s="1">
        <f t="shared" si="122"/>
        <v>2.8604932340102574E-2</v>
      </c>
      <c r="D87" s="1">
        <f t="shared" si="122"/>
        <v>0.84717203344798853</v>
      </c>
      <c r="E87" s="1">
        <f t="shared" si="122"/>
        <v>74.460981382466031</v>
      </c>
      <c r="F87" s="1">
        <f t="shared" si="122"/>
        <v>20</v>
      </c>
      <c r="G87" s="2">
        <f t="shared" si="122"/>
        <v>999.95052543417137</v>
      </c>
      <c r="H87" s="1">
        <f t="shared" si="122"/>
        <v>66.137820341356786</v>
      </c>
      <c r="I87" s="1">
        <f t="shared" si="122"/>
        <v>209.75403572580115</v>
      </c>
      <c r="J87" s="1">
        <f t="shared" si="122"/>
        <v>26.457513110645905</v>
      </c>
      <c r="K87" s="1">
        <f t="shared" si="122"/>
        <v>0.24436991394425786</v>
      </c>
      <c r="L87" s="1">
        <f t="shared" si="122"/>
        <v>3</v>
      </c>
      <c r="M87" s="1">
        <f t="shared" si="122"/>
        <v>0.44471321918882234</v>
      </c>
      <c r="N87" s="1">
        <f t="shared" si="122"/>
        <v>350.73928377680363</v>
      </c>
      <c r="O87" s="1">
        <f t="shared" si="122"/>
        <v>0.99739154237949279</v>
      </c>
      <c r="P87" s="1">
        <f t="shared" si="122"/>
        <v>6.7459204506493871</v>
      </c>
      <c r="Q87" s="1">
        <f t="shared" si="122"/>
        <v>74.603412068782546</v>
      </c>
      <c r="R87" s="1">
        <f t="shared" si="122"/>
        <v>74.460981382466031</v>
      </c>
      <c r="S87" s="2">
        <f t="shared" si="122"/>
        <v>146.18425314438718</v>
      </c>
      <c r="T87" s="1">
        <f t="shared" si="122"/>
        <v>66.526448723664984</v>
      </c>
      <c r="U87" s="1">
        <f t="shared" si="122"/>
        <v>66.405086453936605</v>
      </c>
      <c r="V87" s="2">
        <f t="shared" si="122"/>
        <v>124.56060712033886</v>
      </c>
      <c r="W87" s="2">
        <f t="shared" si="122"/>
        <v>999.96052543417136</v>
      </c>
      <c r="X87" s="2">
        <f t="shared" si="122"/>
        <v>102.97775642436926</v>
      </c>
      <c r="Y87" s="1">
        <f t="shared" si="122"/>
        <v>16.650446022078697</v>
      </c>
      <c r="Z87" s="65">
        <f t="shared" si="113"/>
        <v>3.4006853714834486</v>
      </c>
      <c r="AA87" s="66"/>
      <c r="AB87" s="66">
        <f t="shared" si="114"/>
        <v>0.25736362170150373</v>
      </c>
      <c r="AC87" s="65">
        <f t="shared" si="115"/>
        <v>2.4628646450037932</v>
      </c>
      <c r="AD87" s="1">
        <f t="shared" si="118"/>
        <v>17.351924589632301</v>
      </c>
      <c r="AE87" s="1" t="s">
        <v>320</v>
      </c>
      <c r="AP87" s="1">
        <v>4.25</v>
      </c>
      <c r="AQ87" s="1">
        <f t="shared" si="106"/>
        <v>63.532412169674522</v>
      </c>
      <c r="AR87" s="1">
        <f t="shared" si="106"/>
        <v>69.61446629702715</v>
      </c>
      <c r="AS87" s="1">
        <f t="shared" si="106"/>
        <v>48.053015061539462</v>
      </c>
      <c r="AT87" s="1">
        <f t="shared" si="106"/>
        <v>45.029593077900145</v>
      </c>
      <c r="AU87" s="1">
        <f t="shared" si="106"/>
        <v>40.115434769568424</v>
      </c>
      <c r="AV87" s="1">
        <f t="shared" si="106"/>
        <v>30.441342160754452</v>
      </c>
      <c r="AW87" s="1">
        <f t="shared" si="106"/>
        <v>20.000000003886893</v>
      </c>
    </row>
    <row r="88" spans="1:49" ht="13.5" customHeight="1">
      <c r="A88" s="1">
        <v>8</v>
      </c>
      <c r="B88" s="1">
        <f t="shared" ref="B88:Y88" si="123">B987</f>
        <v>1000</v>
      </c>
      <c r="C88" s="1">
        <f t="shared" si="123"/>
        <v>2.7417321388076121E-2</v>
      </c>
      <c r="D88" s="1">
        <f t="shared" si="123"/>
        <v>0.84096398171330711</v>
      </c>
      <c r="E88" s="1">
        <f t="shared" si="123"/>
        <v>74.603412068782546</v>
      </c>
      <c r="F88" s="1">
        <f t="shared" si="123"/>
        <v>20</v>
      </c>
      <c r="G88" s="2">
        <f t="shared" si="123"/>
        <v>999.9760282924658</v>
      </c>
      <c r="H88" s="1">
        <f t="shared" si="123"/>
        <v>65.919502828495808</v>
      </c>
      <c r="I88" s="1">
        <f t="shared" si="123"/>
        <v>218.8397588179208</v>
      </c>
      <c r="J88" s="1">
        <f t="shared" si="123"/>
        <v>28.284271247461902</v>
      </c>
      <c r="K88" s="1">
        <f t="shared" si="123"/>
        <v>0.27178723533233395</v>
      </c>
      <c r="L88" s="1">
        <f t="shared" si="123"/>
        <v>3</v>
      </c>
      <c r="M88" s="1">
        <f t="shared" si="123"/>
        <v>0.43278222186677373</v>
      </c>
      <c r="N88" s="1">
        <f t="shared" si="123"/>
        <v>306.58159350586834</v>
      </c>
      <c r="O88" s="1">
        <f t="shared" si="123"/>
        <v>0.99750398542718099</v>
      </c>
      <c r="P88" s="1">
        <f t="shared" si="123"/>
        <v>6.9318928745726307</v>
      </c>
      <c r="Q88" s="1">
        <f t="shared" si="123"/>
        <v>74.740044016364152</v>
      </c>
      <c r="R88" s="1">
        <f t="shared" si="123"/>
        <v>74.603412068782546</v>
      </c>
      <c r="S88" s="2">
        <f t="shared" si="123"/>
        <v>155.96624102335537</v>
      </c>
      <c r="T88" s="1">
        <f t="shared" si="123"/>
        <v>66.356101804958456</v>
      </c>
      <c r="U88" s="1">
        <f t="shared" si="123"/>
        <v>66.240396299314199</v>
      </c>
      <c r="V88" s="2">
        <f t="shared" si="123"/>
        <v>132.07857386548676</v>
      </c>
      <c r="W88" s="2">
        <f t="shared" si="123"/>
        <v>999.98602829246579</v>
      </c>
      <c r="X88" s="2">
        <f t="shared" si="123"/>
        <v>98.702356997074034</v>
      </c>
      <c r="Y88" s="1">
        <f t="shared" si="123"/>
        <v>17.351924589632304</v>
      </c>
      <c r="Z88" s="65">
        <f t="shared" si="113"/>
        <v>3.3240303540691301</v>
      </c>
      <c r="AA88" s="66"/>
      <c r="AB88" s="66">
        <f t="shared" si="114"/>
        <v>0.24164085711599656</v>
      </c>
      <c r="AC88" s="65">
        <f t="shared" si="115"/>
        <v>2.3150299685618938</v>
      </c>
      <c r="AD88" s="1">
        <f t="shared" si="118"/>
        <v>17.965087776644037</v>
      </c>
      <c r="AP88" s="1">
        <v>4.5</v>
      </c>
      <c r="AQ88" s="1">
        <f t="shared" ref="AQ88:AW103" si="124">20+(AQ$70-20)*EXP(-$AP88/AQ$67)</f>
        <v>62.718534861038165</v>
      </c>
      <c r="AR88" s="1">
        <f t="shared" si="124"/>
        <v>69.062859661560992</v>
      </c>
      <c r="AS88" s="1">
        <f t="shared" si="124"/>
        <v>46.826108689590562</v>
      </c>
      <c r="AT88" s="1">
        <f t="shared" si="124"/>
        <v>43.774897008738563</v>
      </c>
      <c r="AU88" s="1">
        <f t="shared" si="124"/>
        <v>38.86298818640212</v>
      </c>
      <c r="AV88" s="1">
        <f t="shared" si="124"/>
        <v>29.420762129602096</v>
      </c>
      <c r="AW88" s="1">
        <f t="shared" si="124"/>
        <v>20.00000000097786</v>
      </c>
    </row>
    <row r="89" spans="1:49" ht="13.5" customHeight="1">
      <c r="A89" s="1">
        <v>9</v>
      </c>
      <c r="B89" s="1">
        <f t="shared" ref="B89:Y89" si="125">B988</f>
        <v>1000</v>
      </c>
      <c r="C89" s="1">
        <f t="shared" si="125"/>
        <v>2.6367895475188825E-2</v>
      </c>
      <c r="D89" s="1">
        <f t="shared" si="125"/>
        <v>0.83504435216398176</v>
      </c>
      <c r="E89" s="1">
        <f t="shared" si="125"/>
        <v>74.740044016364152</v>
      </c>
      <c r="F89" s="1">
        <f t="shared" si="125"/>
        <v>20</v>
      </c>
      <c r="G89" s="2">
        <f t="shared" si="125"/>
        <v>999.99330147281717</v>
      </c>
      <c r="H89" s="1">
        <f t="shared" si="125"/>
        <v>65.710364593072654</v>
      </c>
      <c r="I89" s="1">
        <f t="shared" si="125"/>
        <v>227.54944571309338</v>
      </c>
      <c r="J89" s="1">
        <f t="shared" si="125"/>
        <v>30</v>
      </c>
      <c r="K89" s="1">
        <f t="shared" si="125"/>
        <v>0.29815513080752276</v>
      </c>
      <c r="L89" s="1">
        <f t="shared" si="125"/>
        <v>3</v>
      </c>
      <c r="M89" s="1">
        <f t="shared" si="125"/>
        <v>0.42201717028665642</v>
      </c>
      <c r="N89" s="1">
        <f t="shared" si="125"/>
        <v>271.67227699250225</v>
      </c>
      <c r="O89" s="1">
        <f t="shared" si="125"/>
        <v>0.99759571085934495</v>
      </c>
      <c r="P89" s="1">
        <f t="shared" si="125"/>
        <v>7.1087155007514058</v>
      </c>
      <c r="Q89" s="1">
        <f t="shared" si="125"/>
        <v>74.871972103017754</v>
      </c>
      <c r="R89" s="1">
        <f t="shared" si="125"/>
        <v>74.740044016364152</v>
      </c>
      <c r="S89" s="2">
        <f t="shared" si="125"/>
        <v>165.20715092025466</v>
      </c>
      <c r="T89" s="1">
        <f t="shared" si="125"/>
        <v>66.193521973888835</v>
      </c>
      <c r="U89" s="1">
        <f t="shared" si="125"/>
        <v>66.082459390638405</v>
      </c>
      <c r="V89" s="2">
        <f t="shared" si="125"/>
        <v>139.07829195478558</v>
      </c>
      <c r="W89" s="2">
        <f t="shared" si="125"/>
        <v>1000.0033014728172</v>
      </c>
      <c r="X89" s="2">
        <f t="shared" si="125"/>
        <v>94.924423710679775</v>
      </c>
      <c r="Y89" s="1">
        <f t="shared" si="125"/>
        <v>17.96508777664404</v>
      </c>
      <c r="Z89" s="65">
        <f t="shared" si="113"/>
        <v>3.2554572328842899</v>
      </c>
      <c r="AA89" s="66"/>
      <c r="AB89" s="66">
        <f t="shared" si="114"/>
        <v>0.22839151592549575</v>
      </c>
      <c r="AC89" s="65">
        <f t="shared" si="115"/>
        <v>2.1827818062768447</v>
      </c>
      <c r="AD89" s="1">
        <f t="shared" si="118"/>
        <v>18.508432330629041</v>
      </c>
      <c r="AP89" s="1">
        <v>4.75</v>
      </c>
      <c r="AQ89" s="1">
        <f t="shared" si="124"/>
        <v>61.91987371526757</v>
      </c>
      <c r="AR89" s="1">
        <f t="shared" si="124"/>
        <v>68.517385710833793</v>
      </c>
      <c r="AS89" s="1">
        <f t="shared" si="124"/>
        <v>45.65286140712729</v>
      </c>
      <c r="AT89" s="1">
        <f t="shared" si="124"/>
        <v>42.583096977122203</v>
      </c>
      <c r="AU89" s="1">
        <f t="shared" si="124"/>
        <v>37.688522639273771</v>
      </c>
      <c r="AV89" s="1">
        <f t="shared" si="124"/>
        <v>28.499937817968434</v>
      </c>
      <c r="AW89" s="1">
        <f t="shared" si="124"/>
        <v>20.000000000246008</v>
      </c>
    </row>
    <row r="90" spans="1:49" ht="13.5" customHeight="1">
      <c r="A90" s="1">
        <v>10</v>
      </c>
      <c r="B90" s="1">
        <f t="shared" ref="B90:Y90" si="126">B989</f>
        <v>1000</v>
      </c>
      <c r="C90" s="1">
        <f t="shared" si="126"/>
        <v>2.542906590630821E-2</v>
      </c>
      <c r="D90" s="1">
        <f t="shared" si="126"/>
        <v>0.82936358936283328</v>
      </c>
      <c r="E90" s="1">
        <f t="shared" si="126"/>
        <v>74.871972103017754</v>
      </c>
      <c r="F90" s="1">
        <f t="shared" si="126"/>
        <v>20</v>
      </c>
      <c r="G90" s="2">
        <f t="shared" si="126"/>
        <v>1000.004545164959</v>
      </c>
      <c r="H90" s="1">
        <f t="shared" si="126"/>
        <v>65.508815738776065</v>
      </c>
      <c r="I90" s="1">
        <f t="shared" si="126"/>
        <v>235.95046794509173</v>
      </c>
      <c r="J90" s="1">
        <f t="shared" si="126"/>
        <v>31.622776601683793</v>
      </c>
      <c r="K90" s="1">
        <f t="shared" si="126"/>
        <v>0.32358419671383098</v>
      </c>
      <c r="L90" s="1">
        <f t="shared" si="126"/>
        <v>3</v>
      </c>
      <c r="M90" s="1">
        <f t="shared" si="126"/>
        <v>0.41220916778831973</v>
      </c>
      <c r="N90" s="1">
        <f t="shared" si="126"/>
        <v>243.38874299534839</v>
      </c>
      <c r="O90" s="1">
        <f t="shared" si="126"/>
        <v>0.99767222005486822</v>
      </c>
      <c r="P90" s="1">
        <f t="shared" si="126"/>
        <v>7.2778585107563138</v>
      </c>
      <c r="Q90" s="1">
        <f t="shared" si="126"/>
        <v>75</v>
      </c>
      <c r="R90" s="1">
        <f t="shared" si="126"/>
        <v>74.871972103017754</v>
      </c>
      <c r="S90" s="2">
        <f t="shared" si="126"/>
        <v>173.99677764823954</v>
      </c>
      <c r="T90" s="1">
        <f t="shared" si="126"/>
        <v>66.037379246496371</v>
      </c>
      <c r="U90" s="1">
        <f t="shared" si="126"/>
        <v>65.930214358359962</v>
      </c>
      <c r="V90" s="2">
        <f t="shared" si="126"/>
        <v>145.64282982291468</v>
      </c>
      <c r="W90" s="2">
        <f t="shared" si="126"/>
        <v>1000.014545164959</v>
      </c>
      <c r="X90" s="2">
        <f t="shared" si="126"/>
        <v>91.544637262709557</v>
      </c>
      <c r="Y90" s="1">
        <f t="shared" si="126"/>
        <v>18.508432330629045</v>
      </c>
      <c r="Z90" s="65">
        <f t="shared" si="113"/>
        <v>3.1932546532313548</v>
      </c>
      <c r="AA90" s="66"/>
      <c r="AB90" s="66">
        <f t="shared" si="114"/>
        <v>0.21700251143077734</v>
      </c>
      <c r="AC90" s="65">
        <f t="shared" si="115"/>
        <v>2.0628196883747556</v>
      </c>
      <c r="AD90" s="1">
        <f t="shared" si="118"/>
        <v>18.995209816619738</v>
      </c>
      <c r="AP90" s="1">
        <v>5</v>
      </c>
      <c r="AQ90" s="1">
        <f t="shared" si="124"/>
        <v>61.136144252613882</v>
      </c>
      <c r="AR90" s="1">
        <f t="shared" si="124"/>
        <v>67.977976262521935</v>
      </c>
      <c r="AS90" s="1">
        <f t="shared" si="124"/>
        <v>44.530926419031246</v>
      </c>
      <c r="AT90" s="1">
        <f t="shared" si="124"/>
        <v>41.451040098750155</v>
      </c>
      <c r="AU90" s="1">
        <f t="shared" si="124"/>
        <v>36.587182797773863</v>
      </c>
      <c r="AV90" s="1">
        <f t="shared" si="124"/>
        <v>27.669118688636452</v>
      </c>
      <c r="AW90" s="1">
        <f t="shared" si="124"/>
        <v>20.000000000061892</v>
      </c>
    </row>
    <row r="91" spans="1:49" ht="13.5" customHeight="1">
      <c r="A91" s="1">
        <v>11</v>
      </c>
      <c r="N91" s="1">
        <f>N990</f>
        <v>6497.6049083098696</v>
      </c>
      <c r="O91" s="2" t="str">
        <f>O990</f>
        <v>nátoková teplota:</v>
      </c>
      <c r="P91" s="2"/>
      <c r="Q91" s="2"/>
      <c r="R91" s="2">
        <f>R990</f>
        <v>75</v>
      </c>
      <c r="S91" s="2" t="str">
        <f>S990</f>
        <v>výst. tepl:</v>
      </c>
      <c r="T91" s="2"/>
      <c r="U91" s="2">
        <f>U990</f>
        <v>65.930214358359962</v>
      </c>
      <c r="W91" s="2">
        <f>SUM(W81:W90)</f>
        <v>9997.7543730731304</v>
      </c>
      <c r="X91" s="2" t="s">
        <v>3</v>
      </c>
      <c r="Y91" s="2">
        <f>Y990</f>
        <v>18.995209816619742</v>
      </c>
      <c r="AP91" s="1">
        <v>5.25</v>
      </c>
      <c r="AQ91" s="1">
        <f t="shared" si="124"/>
        <v>60.367067311931123</v>
      </c>
      <c r="AR91" s="1">
        <f t="shared" si="124"/>
        <v>67.444563892343311</v>
      </c>
      <c r="AS91" s="1">
        <f t="shared" si="124"/>
        <v>43.458059567917545</v>
      </c>
      <c r="AT91" s="1">
        <f t="shared" si="124"/>
        <v>40.375731538696357</v>
      </c>
      <c r="AU91" s="1">
        <f t="shared" si="124"/>
        <v>35.55441563875349</v>
      </c>
      <c r="AV91" s="1">
        <f t="shared" si="124"/>
        <v>26.919507262283751</v>
      </c>
      <c r="AW91" s="1">
        <f t="shared" si="124"/>
        <v>20.000000000015572</v>
      </c>
    </row>
    <row r="92" spans="1:49" ht="13.5" customHeight="1">
      <c r="P92" s="1">
        <f>SUM(P81:P90)</f>
        <v>63.670713034585901</v>
      </c>
      <c r="Q92" s="1" t="s">
        <v>43</v>
      </c>
      <c r="W92" s="2">
        <f>(R91-U91)*K90*4200</f>
        <v>12326.325065110266</v>
      </c>
      <c r="X92" s="2" t="s">
        <v>3</v>
      </c>
      <c r="AP92" s="1">
        <v>5.5</v>
      </c>
      <c r="AQ92" s="1">
        <f t="shared" si="124"/>
        <v>59.612368951240157</v>
      </c>
      <c r="AR92" s="1">
        <f t="shared" si="124"/>
        <v>66.917081925629446</v>
      </c>
      <c r="AS92" s="1">
        <f t="shared" si="124"/>
        <v>42.432114845245174</v>
      </c>
      <c r="AT92" s="1">
        <f t="shared" si="124"/>
        <v>39.354326588630784</v>
      </c>
      <c r="AU92" s="1">
        <f t="shared" si="124"/>
        <v>34.585951623778421</v>
      </c>
      <c r="AV92" s="1">
        <f t="shared" si="124"/>
        <v>26.243165961656342</v>
      </c>
      <c r="AW92" s="1">
        <f t="shared" si="124"/>
        <v>20.000000000003919</v>
      </c>
    </row>
    <row r="93" spans="1:49" ht="13.5" customHeight="1">
      <c r="A93" s="53" t="s">
        <v>65</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P93" s="1">
        <v>5.75</v>
      </c>
      <c r="AQ93" s="1">
        <f t="shared" si="124"/>
        <v>58.871780350151688</v>
      </c>
      <c r="AR93" s="1">
        <f t="shared" si="124"/>
        <v>66.395464428991431</v>
      </c>
      <c r="AS93" s="1">
        <f t="shared" si="124"/>
        <v>41.451040098750155</v>
      </c>
      <c r="AT93" s="1">
        <f t="shared" si="124"/>
        <v>38.384123141197747</v>
      </c>
      <c r="AU93" s="1">
        <f t="shared" si="124"/>
        <v>33.677787048530604</v>
      </c>
      <c r="AV93" s="1">
        <f t="shared" si="124"/>
        <v>25.632933061178708</v>
      </c>
      <c r="AW93" s="1">
        <f t="shared" si="124"/>
        <v>20.000000000000984</v>
      </c>
    </row>
    <row r="94" spans="1:49" ht="13.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P94" s="1">
        <v>6</v>
      </c>
      <c r="AQ94" s="1">
        <f t="shared" si="124"/>
        <v>58.14503771411362</v>
      </c>
      <c r="AR94" s="1">
        <f t="shared" si="124"/>
        <v>65.879646202078476</v>
      </c>
      <c r="AS94" s="1">
        <f t="shared" si="124"/>
        <v>40.512872927615298</v>
      </c>
      <c r="AT94" s="1">
        <f t="shared" si="124"/>
        <v>37.462554541642291</v>
      </c>
      <c r="AU94" s="1">
        <f t="shared" si="124"/>
        <v>32.826167491188265</v>
      </c>
      <c r="AV94" s="1">
        <f t="shared" si="124"/>
        <v>25.082346851997194</v>
      </c>
      <c r="AW94" s="1">
        <f t="shared" si="124"/>
        <v>20.000000000000249</v>
      </c>
    </row>
    <row r="95" spans="1:49" ht="13.5" customHeight="1" thickBot="1">
      <c r="X95" s="1">
        <v>1000</v>
      </c>
      <c r="Y95" s="1">
        <v>100</v>
      </c>
      <c r="AD95" s="64">
        <f>X95/1000/SQRT(Y95/104)</f>
        <v>1.0198039027185568</v>
      </c>
      <c r="AP95" s="1">
        <v>6.25</v>
      </c>
      <c r="AQ95" s="1">
        <f t="shared" si="124"/>
        <v>57.431882180448483</v>
      </c>
      <c r="AR95" s="1">
        <f t="shared" si="124"/>
        <v>65.369562769428057</v>
      </c>
      <c r="AS95" s="1">
        <f t="shared" si="124"/>
        <v>39.615736757165884</v>
      </c>
      <c r="AT95" s="1">
        <f t="shared" si="124"/>
        <v>36.587182797773863</v>
      </c>
      <c r="AU95" s="1">
        <f t="shared" si="124"/>
        <v>32.027572291358929</v>
      </c>
      <c r="AV95" s="1">
        <f t="shared" si="124"/>
        <v>24.585577219446087</v>
      </c>
      <c r="AW95" s="1">
        <f t="shared" si="124"/>
        <v>20.000000000000064</v>
      </c>
    </row>
    <row r="96" spans="1:49" ht="13.5" customHeight="1">
      <c r="B96" s="14" t="s">
        <v>40</v>
      </c>
      <c r="C96" s="15"/>
      <c r="D96" s="15"/>
      <c r="E96" s="15"/>
      <c r="F96" s="15"/>
      <c r="G96" s="15"/>
      <c r="H96" s="15" t="s">
        <v>39</v>
      </c>
      <c r="I96" s="16"/>
      <c r="J96" s="14" t="s">
        <v>38</v>
      </c>
      <c r="K96" s="15"/>
      <c r="L96" s="15"/>
      <c r="M96" s="15"/>
      <c r="N96" s="15" t="s">
        <v>37</v>
      </c>
      <c r="O96" s="15"/>
      <c r="P96" s="15"/>
      <c r="Q96" s="15"/>
      <c r="R96" s="15"/>
      <c r="S96" s="16"/>
      <c r="T96" s="14" t="s">
        <v>36</v>
      </c>
      <c r="U96" s="15"/>
      <c r="V96" s="16"/>
      <c r="W96" s="14"/>
      <c r="X96" s="15"/>
      <c r="Y96" s="15"/>
      <c r="Z96" s="16"/>
      <c r="AP96" s="1">
        <v>6.5</v>
      </c>
      <c r="AQ96" s="1">
        <f t="shared" si="124"/>
        <v>56.732059726147661</v>
      </c>
      <c r="AR96" s="1">
        <f t="shared" si="124"/>
        <v>64.865150372406788</v>
      </c>
      <c r="AS96" s="1">
        <f t="shared" si="124"/>
        <v>38.757837085239558</v>
      </c>
      <c r="AT96" s="1">
        <f t="shared" si="124"/>
        <v>35.755692130304425</v>
      </c>
      <c r="AU96" s="1">
        <f t="shared" si="124"/>
        <v>31.278699995400025</v>
      </c>
      <c r="AV96" s="1">
        <f t="shared" si="124"/>
        <v>24.137363908415615</v>
      </c>
      <c r="AW96" s="1">
        <f t="shared" si="124"/>
        <v>20.000000000000014</v>
      </c>
    </row>
    <row r="97" spans="1:49" ht="13.5" customHeight="1">
      <c r="B97" s="17" t="s">
        <v>35</v>
      </c>
      <c r="C97" s="18" t="s">
        <v>22</v>
      </c>
      <c r="D97" s="18"/>
      <c r="E97" s="18" t="s">
        <v>34</v>
      </c>
      <c r="F97" s="18" t="s">
        <v>33</v>
      </c>
      <c r="G97" s="18" t="s">
        <v>7</v>
      </c>
      <c r="H97" s="18" t="s">
        <v>32</v>
      </c>
      <c r="I97" s="19" t="s">
        <v>22</v>
      </c>
      <c r="J97" s="17" t="s">
        <v>31</v>
      </c>
      <c r="K97" s="18"/>
      <c r="L97" s="18" t="s">
        <v>30</v>
      </c>
      <c r="M97" s="18"/>
      <c r="N97" s="18" t="s">
        <v>29</v>
      </c>
      <c r="O97" s="18"/>
      <c r="P97" s="18" t="s">
        <v>28</v>
      </c>
      <c r="Q97" s="20" t="s">
        <v>27</v>
      </c>
      <c r="R97" s="21" t="s">
        <v>26</v>
      </c>
      <c r="S97" s="22" t="s">
        <v>7</v>
      </c>
      <c r="T97" s="23" t="s">
        <v>25</v>
      </c>
      <c r="U97" s="24" t="s">
        <v>24</v>
      </c>
      <c r="V97" s="25" t="s">
        <v>7</v>
      </c>
      <c r="W97" s="26" t="s">
        <v>23</v>
      </c>
      <c r="X97" s="4" t="s">
        <v>22</v>
      </c>
      <c r="Y97" s="4" t="s">
        <v>21</v>
      </c>
      <c r="Z97" s="5" t="s">
        <v>20</v>
      </c>
      <c r="AP97" s="1">
        <v>6.75</v>
      </c>
      <c r="AQ97" s="1">
        <f t="shared" si="124"/>
        <v>56.045321077389467</v>
      </c>
      <c r="AR97" s="1">
        <f t="shared" si="124"/>
        <v>64.366345961240739</v>
      </c>
      <c r="AS97" s="1">
        <f t="shared" si="124"/>
        <v>37.937457892722307</v>
      </c>
      <c r="AT97" s="1">
        <f t="shared" si="124"/>
        <v>34.965882846498374</v>
      </c>
      <c r="AU97" s="1">
        <f t="shared" si="124"/>
        <v>30.576454707957019</v>
      </c>
      <c r="AV97" s="1">
        <f t="shared" si="124"/>
        <v>23.732960822918574</v>
      </c>
      <c r="AW97" s="1">
        <f t="shared" si="124"/>
        <v>20.000000000000004</v>
      </c>
    </row>
    <row r="98" spans="1:49" ht="13.5" customHeight="1">
      <c r="B98" s="54" t="s">
        <v>3</v>
      </c>
      <c r="C98" s="28" t="s">
        <v>17</v>
      </c>
      <c r="D98" s="20" t="s">
        <v>13</v>
      </c>
      <c r="E98" s="20" t="s">
        <v>19</v>
      </c>
      <c r="F98" s="28" t="s">
        <v>19</v>
      </c>
      <c r="G98" s="20" t="s">
        <v>3</v>
      </c>
      <c r="H98" s="20" t="s">
        <v>19</v>
      </c>
      <c r="I98" s="29" t="s">
        <v>12</v>
      </c>
      <c r="J98" s="55" t="s">
        <v>18</v>
      </c>
      <c r="K98" s="20" t="s">
        <v>17</v>
      </c>
      <c r="L98" s="56" t="s">
        <v>16</v>
      </c>
      <c r="M98" s="20" t="s">
        <v>15</v>
      </c>
      <c r="N98" s="20" t="s">
        <v>14</v>
      </c>
      <c r="O98" s="20" t="s">
        <v>13</v>
      </c>
      <c r="P98" s="20" t="s">
        <v>12</v>
      </c>
      <c r="Q98" s="20" t="s">
        <v>11</v>
      </c>
      <c r="R98" s="21" t="s">
        <v>11</v>
      </c>
      <c r="S98" s="22" t="s">
        <v>10</v>
      </c>
      <c r="T98" s="23" t="s">
        <v>9</v>
      </c>
      <c r="U98" s="24" t="s">
        <v>9</v>
      </c>
      <c r="V98" s="33" t="s">
        <v>8</v>
      </c>
      <c r="W98" s="34" t="s">
        <v>7</v>
      </c>
      <c r="X98" s="4" t="s">
        <v>6</v>
      </c>
      <c r="Y98" s="6" t="s">
        <v>5</v>
      </c>
      <c r="Z98" s="7" t="s">
        <v>5</v>
      </c>
      <c r="AP98" s="1">
        <v>7</v>
      </c>
      <c r="AQ98" s="1">
        <f t="shared" si="124"/>
        <v>55.371421620748855</v>
      </c>
      <c r="AR98" s="1">
        <f t="shared" si="124"/>
        <v>63.873087187134495</v>
      </c>
      <c r="AS98" s="1">
        <f t="shared" si="124"/>
        <v>37.152958211070683</v>
      </c>
      <c r="AT98" s="1">
        <f t="shared" si="124"/>
        <v>34.215665520927303</v>
      </c>
      <c r="AU98" s="1">
        <f t="shared" si="124"/>
        <v>29.917933293295192</v>
      </c>
      <c r="AV98" s="1">
        <f t="shared" si="124"/>
        <v>23.368085770048022</v>
      </c>
      <c r="AW98" s="1">
        <f t="shared" si="124"/>
        <v>20</v>
      </c>
    </row>
    <row r="99" spans="1:49" ht="13.5" customHeight="1" thickBot="1">
      <c r="B99" s="57"/>
      <c r="C99" s="3">
        <f>B21</f>
        <v>1.05</v>
      </c>
      <c r="D99" s="37"/>
      <c r="E99" s="38"/>
      <c r="F99" s="38"/>
      <c r="G99" s="37"/>
      <c r="H99" s="37"/>
      <c r="I99" s="39"/>
      <c r="J99" s="58" t="s">
        <v>4</v>
      </c>
      <c r="K99" s="44"/>
      <c r="L99" s="59"/>
      <c r="M99" s="37"/>
      <c r="N99" s="37"/>
      <c r="O99" s="37"/>
      <c r="P99" s="37"/>
      <c r="Q99" s="42"/>
      <c r="R99" s="42"/>
      <c r="S99" s="52" t="s">
        <v>3</v>
      </c>
      <c r="T99" s="43"/>
      <c r="U99" s="44"/>
      <c r="V99" s="39" t="s">
        <v>3</v>
      </c>
      <c r="W99" s="45" t="s">
        <v>3</v>
      </c>
      <c r="X99" s="8" t="s">
        <v>2</v>
      </c>
      <c r="Y99" s="9" t="s">
        <v>1</v>
      </c>
      <c r="Z99" s="13" t="s">
        <v>0</v>
      </c>
      <c r="AP99" s="1">
        <v>7.25</v>
      </c>
      <c r="AQ99" s="1">
        <f t="shared" si="124"/>
        <v>54.710121316067116</v>
      </c>
      <c r="AR99" s="1">
        <f t="shared" si="124"/>
        <v>63.385312394477729</v>
      </c>
      <c r="AS99" s="1">
        <f t="shared" si="124"/>
        <v>36.402768839954255</v>
      </c>
      <c r="AT99" s="1">
        <f t="shared" si="124"/>
        <v>33.503055467934793</v>
      </c>
      <c r="AU99" s="1">
        <f t="shared" si="124"/>
        <v>29.300413373514438</v>
      </c>
      <c r="AV99" s="1">
        <f t="shared" si="124"/>
        <v>23.038875116168729</v>
      </c>
      <c r="AW99" s="1">
        <f t="shared" si="124"/>
        <v>20</v>
      </c>
    </row>
    <row r="100" spans="1:49" ht="13.5" customHeight="1">
      <c r="A100" s="1">
        <v>1</v>
      </c>
      <c r="B100" s="3">
        <f t="shared" ref="B100:B109" si="127">B70</f>
        <v>1000</v>
      </c>
      <c r="C100" s="1">
        <f t="shared" ref="C100:C109" si="128">(B100*C$99+0.001)/42000</f>
        <v>2.5000023809523809E-2</v>
      </c>
      <c r="D100" s="1">
        <f t="shared" ref="D100:D109" si="129">EXP((1+(E100-F100-55)/55*$B$18)*B100/C100/-210000)</f>
        <v>0.8295057488531794</v>
      </c>
      <c r="E100" s="1">
        <f t="shared" ref="E100:E109" si="130">R100</f>
        <v>72.301879285768166</v>
      </c>
      <c r="F100" s="1">
        <f t="shared" ref="F100:F109" si="131">F70</f>
        <v>20</v>
      </c>
      <c r="G100" s="1">
        <f t="shared" ref="G100:G109" si="132">(E100-F100)*C100*(1-D100)*4200</f>
        <v>936.30371466881161</v>
      </c>
      <c r="H100" s="1">
        <f t="shared" ref="H100:H109" si="133">(E100-F100)*D100+F100</f>
        <v>63.384709543369716</v>
      </c>
      <c r="I100" s="1">
        <f t="shared" ref="I100:I109" si="134">B100*0.001*6/C100</f>
        <v>239.99977142878913</v>
      </c>
      <c r="J100" s="3">
        <f t="shared" ref="J100:J109" si="135">J70</f>
        <v>10</v>
      </c>
      <c r="K100" s="47">
        <f t="shared" ref="K100:K109" si="136">K99+C100</f>
        <v>2.5000023809523809E-2</v>
      </c>
      <c r="L100" s="3">
        <f t="shared" ref="L100:L109" si="137">L70</f>
        <v>3</v>
      </c>
      <c r="M100" s="47">
        <f t="shared" ref="M100:M109" si="138">K100/(J100*J100*3.14/4000)</f>
        <v>0.31847164088565361</v>
      </c>
      <c r="N100" s="47">
        <f t="shared" ref="N100:N109" si="139">L100*26400/J100^1.27*M100^1.83*$N$69</f>
        <v>655.02020338143029</v>
      </c>
      <c r="O100" s="1">
        <f t="shared" ref="O100:O109" si="140">EXP(-(J100+2)*3.14/1000*$O$66/(M100*J100*J100*3.14/4000*4200)*L100)</f>
        <v>0.98929203875929372</v>
      </c>
      <c r="P100" s="1">
        <f t="shared" ref="P100:P109" si="141">L100/M100</f>
        <v>9.4199910285799735</v>
      </c>
      <c r="Q100" s="1">
        <f t="shared" ref="Q100:Q109" si="142">R101</f>
        <v>72.867987648381174</v>
      </c>
      <c r="R100" s="1">
        <f t="shared" ref="R100:R109" si="143">(Q100-F100)*O100+F100</f>
        <v>72.301879285768166</v>
      </c>
      <c r="S100" s="47">
        <f t="shared" ref="S100:S109" si="144">K100*(1-O100)*4200*(Q100-F100)</f>
        <v>59.441434685201656</v>
      </c>
      <c r="T100" s="1">
        <f t="shared" ref="T100:T109" si="145">(U99*K99+H100*C100)/K100</f>
        <v>63.384709543369723</v>
      </c>
      <c r="U100" s="47">
        <f t="shared" ref="U100:U109" si="146">(T100-F100)*O100+F100</f>
        <v>62.920147755140022</v>
      </c>
      <c r="V100" s="47">
        <f t="shared" ref="V100:V109" si="147">K100*(1-O100)*4200*(T100-F100)</f>
        <v>48.779034220297603</v>
      </c>
      <c r="W100" s="2">
        <f>G100+(S100+V100)*$AB$22+0.01</f>
        <v>936.3137146688116</v>
      </c>
      <c r="X100" s="1">
        <f t="shared" ref="X100:X109" si="148">C100*3600</f>
        <v>90.000085714285717</v>
      </c>
      <c r="Y100" s="1">
        <f t="shared" ref="Y100:Y109" si="149">Y101-2*N100/1000</f>
        <v>6</v>
      </c>
      <c r="Z100" s="2">
        <f t="shared" ref="Z100:Z109" si="150">-1.1-1.8*LOG10(Y100/X100/X100)</f>
        <v>4.5346022722999546</v>
      </c>
      <c r="AA100" s="3">
        <f t="shared" ref="AA100:AA109" si="151">AA70</f>
        <v>1000</v>
      </c>
      <c r="AB100" s="1">
        <f>((AA100/W100)-1)*AB$23+AC100+AD100</f>
        <v>6.8018105826544772E-2</v>
      </c>
      <c r="AC100" s="1">
        <f>((N112/N111)-1)*AB$24</f>
        <v>0</v>
      </c>
      <c r="AD100" s="64">
        <f>(AC$21-(X100/1000/SQRT(Y100/104))*1000/B100)*AB$21</f>
        <v>0</v>
      </c>
      <c r="AE100" s="1">
        <f t="shared" ref="AE100:AE110" si="152">AE101</f>
        <v>11.599054429695624</v>
      </c>
      <c r="AP100" s="1">
        <v>7.5</v>
      </c>
      <c r="AQ100" s="1">
        <f t="shared" si="124"/>
        <v>54.061184610950612</v>
      </c>
      <c r="AR100" s="1">
        <f t="shared" si="124"/>
        <v>62.902960613138511</v>
      </c>
      <c r="AS100" s="1">
        <f t="shared" si="124"/>
        <v>35.68538920845306</v>
      </c>
      <c r="AT100" s="1">
        <f t="shared" si="124"/>
        <v>32.826167491188265</v>
      </c>
      <c r="AU100" s="1">
        <f t="shared" si="124"/>
        <v>28.721342074030797</v>
      </c>
      <c r="AV100" s="1">
        <f t="shared" si="124"/>
        <v>22.741842875200245</v>
      </c>
      <c r="AW100" s="1">
        <f t="shared" si="124"/>
        <v>20</v>
      </c>
    </row>
    <row r="101" spans="1:49" ht="13.5" customHeight="1">
      <c r="A101" s="1">
        <v>2</v>
      </c>
      <c r="B101" s="3">
        <f t="shared" si="127"/>
        <v>1000</v>
      </c>
      <c r="C101" s="1">
        <f t="shared" si="128"/>
        <v>2.5000023809523809E-2</v>
      </c>
      <c r="D101" s="1">
        <f t="shared" si="129"/>
        <v>0.82888799083022324</v>
      </c>
      <c r="E101" s="1">
        <f t="shared" si="130"/>
        <v>72.867987648381174</v>
      </c>
      <c r="F101" s="1">
        <f t="shared" si="131"/>
        <v>20</v>
      </c>
      <c r="G101" s="1">
        <f t="shared" si="132"/>
        <v>949.8674012988904</v>
      </c>
      <c r="H101" s="1">
        <f t="shared" si="133"/>
        <v>63.821640061103729</v>
      </c>
      <c r="I101" s="1">
        <f t="shared" si="134"/>
        <v>239.99977142878913</v>
      </c>
      <c r="J101" s="3">
        <f t="shared" si="135"/>
        <v>14.142135623730951</v>
      </c>
      <c r="K101" s="47">
        <f t="shared" si="136"/>
        <v>5.0000047619047618E-2</v>
      </c>
      <c r="L101" s="3">
        <f t="shared" si="137"/>
        <v>3</v>
      </c>
      <c r="M101" s="47">
        <f t="shared" si="138"/>
        <v>0.31847164088565355</v>
      </c>
      <c r="N101" s="47">
        <f t="shared" si="139"/>
        <v>421.79424344636709</v>
      </c>
      <c r="O101" s="1">
        <f t="shared" si="140"/>
        <v>0.99278525817206176</v>
      </c>
      <c r="P101" s="1">
        <f t="shared" si="141"/>
        <v>9.4199910285799753</v>
      </c>
      <c r="Q101" s="1">
        <f t="shared" si="142"/>
        <v>73.252188439746661</v>
      </c>
      <c r="R101" s="1">
        <f t="shared" si="143"/>
        <v>72.867987648381174</v>
      </c>
      <c r="S101" s="47">
        <f t="shared" si="144"/>
        <v>80.682243026911081</v>
      </c>
      <c r="T101" s="1">
        <f t="shared" si="145"/>
        <v>63.370893908121872</v>
      </c>
      <c r="U101" s="47">
        <f t="shared" si="146"/>
        <v>63.057984105727876</v>
      </c>
      <c r="V101" s="47">
        <f t="shared" si="147"/>
        <v>65.711121084700224</v>
      </c>
      <c r="W101" s="2">
        <f t="shared" ref="W101:W109" si="153">G101+(S101+V101)*$AB$22+0.01</f>
        <v>949.87740129889039</v>
      </c>
      <c r="X101" s="1">
        <f t="shared" si="148"/>
        <v>90.000085714285717</v>
      </c>
      <c r="Y101" s="1">
        <f t="shared" si="149"/>
        <v>7.3100404067628606</v>
      </c>
      <c r="Z101" s="2">
        <f t="shared" si="150"/>
        <v>4.3802189233864528</v>
      </c>
      <c r="AA101" s="3">
        <f t="shared" si="151"/>
        <v>1000</v>
      </c>
      <c r="AB101" s="1">
        <f t="shared" ref="AB101:AB109" si="154">((AA101/W101)-1)*AB$23+AC101+AD101</f>
        <v>5.2767439916530767E-2</v>
      </c>
      <c r="AC101" s="1">
        <f t="shared" ref="AC101:AC109" si="155">AC100</f>
        <v>0</v>
      </c>
      <c r="AD101" s="64">
        <f t="shared" ref="AD101:AD109" si="156">(AC$21-(X101/1000/SQRT(Y101/104))*1000/B101)*AB$21</f>
        <v>0</v>
      </c>
      <c r="AE101" s="1">
        <f t="shared" si="152"/>
        <v>11.599054429695624</v>
      </c>
      <c r="AP101" s="1">
        <v>7.75</v>
      </c>
      <c r="AQ101" s="1">
        <f t="shared" si="124"/>
        <v>53.424380356867999</v>
      </c>
      <c r="AR101" s="1">
        <f t="shared" si="124"/>
        <v>62.425971550842213</v>
      </c>
      <c r="AS101" s="1">
        <f t="shared" si="124"/>
        <v>34.999384373531278</v>
      </c>
      <c r="AT101" s="1">
        <f t="shared" si="124"/>
        <v>32.183210896427994</v>
      </c>
      <c r="AU101" s="1">
        <f t="shared" si="124"/>
        <v>28.178325469797652</v>
      </c>
      <c r="AV101" s="1">
        <f t="shared" si="124"/>
        <v>22.473843795780695</v>
      </c>
      <c r="AW101" s="1">
        <f t="shared" si="124"/>
        <v>20</v>
      </c>
    </row>
    <row r="102" spans="1:49" ht="13.5" customHeight="1">
      <c r="A102" s="1">
        <v>3</v>
      </c>
      <c r="B102" s="3">
        <f t="shared" si="127"/>
        <v>1000</v>
      </c>
      <c r="C102" s="1">
        <f t="shared" si="128"/>
        <v>2.5000023809523809E-2</v>
      </c>
      <c r="D102" s="1">
        <f t="shared" si="129"/>
        <v>0.82846899904859106</v>
      </c>
      <c r="E102" s="1">
        <f t="shared" si="130"/>
        <v>73.252188439746661</v>
      </c>
      <c r="F102" s="1">
        <f t="shared" si="131"/>
        <v>20</v>
      </c>
      <c r="G102" s="1">
        <f t="shared" si="132"/>
        <v>959.11303796201184</v>
      </c>
      <c r="H102" s="1">
        <f t="shared" si="133"/>
        <v>64.117787253823877</v>
      </c>
      <c r="I102" s="1">
        <f t="shared" si="134"/>
        <v>239.99977142878913</v>
      </c>
      <c r="J102" s="3">
        <f t="shared" si="135"/>
        <v>17.320508075688775</v>
      </c>
      <c r="K102" s="47">
        <f t="shared" si="136"/>
        <v>7.500007142857143E-2</v>
      </c>
      <c r="L102" s="3">
        <f t="shared" si="137"/>
        <v>3</v>
      </c>
      <c r="M102" s="47">
        <f t="shared" si="138"/>
        <v>0.31847164088565355</v>
      </c>
      <c r="N102" s="47">
        <f t="shared" si="139"/>
        <v>326.04886954528092</v>
      </c>
      <c r="O102" s="1">
        <f t="shared" si="140"/>
        <v>0.99423891264131414</v>
      </c>
      <c r="P102" s="1">
        <f t="shared" si="141"/>
        <v>9.4199910285799753</v>
      </c>
      <c r="Q102" s="1">
        <f t="shared" si="142"/>
        <v>73.560756637733959</v>
      </c>
      <c r="R102" s="1">
        <f t="shared" si="143"/>
        <v>73.252188439746661</v>
      </c>
      <c r="S102" s="47">
        <f t="shared" si="144"/>
        <v>97.199074936458487</v>
      </c>
      <c r="T102" s="1">
        <f t="shared" si="145"/>
        <v>63.411251821759869</v>
      </c>
      <c r="U102" s="47">
        <f t="shared" si="146"/>
        <v>63.161155807664798</v>
      </c>
      <c r="V102" s="47">
        <f t="shared" si="147"/>
        <v>78.780319468751017</v>
      </c>
      <c r="W102" s="2">
        <f t="shared" si="153"/>
        <v>959.12303796201184</v>
      </c>
      <c r="X102" s="1">
        <f t="shared" si="148"/>
        <v>90.000085714285717</v>
      </c>
      <c r="Y102" s="1">
        <f t="shared" si="149"/>
        <v>8.1536288936555952</v>
      </c>
      <c r="Z102" s="2">
        <f t="shared" si="150"/>
        <v>4.2948428292334011</v>
      </c>
      <c r="AA102" s="3">
        <f t="shared" si="151"/>
        <v>1000</v>
      </c>
      <c r="AB102" s="1">
        <f t="shared" si="154"/>
        <v>4.2619101429202777E-2</v>
      </c>
      <c r="AC102" s="1">
        <f t="shared" si="155"/>
        <v>0</v>
      </c>
      <c r="AD102" s="64">
        <f t="shared" si="156"/>
        <v>0</v>
      </c>
      <c r="AE102" s="1">
        <f t="shared" si="152"/>
        <v>11.599054429695624</v>
      </c>
      <c r="AP102" s="1">
        <v>8</v>
      </c>
      <c r="AQ102" s="1">
        <f t="shared" si="124"/>
        <v>52.799481726816069</v>
      </c>
      <c r="AR102" s="1">
        <f t="shared" si="124"/>
        <v>61.954285585635226</v>
      </c>
      <c r="AS102" s="1">
        <f t="shared" si="124"/>
        <v>34.343382149783629</v>
      </c>
      <c r="AT102" s="1">
        <f t="shared" si="124"/>
        <v>31.572484754219477</v>
      </c>
      <c r="AU102" s="1">
        <f t="shared" si="124"/>
        <v>27.669118688636448</v>
      </c>
      <c r="AV102" s="1">
        <f t="shared" si="124"/>
        <v>22.232040056444038</v>
      </c>
      <c r="AW102" s="1">
        <f t="shared" si="124"/>
        <v>20</v>
      </c>
    </row>
    <row r="103" spans="1:49" ht="13.5" customHeight="1">
      <c r="A103" s="1">
        <v>4</v>
      </c>
      <c r="B103" s="3">
        <f t="shared" si="127"/>
        <v>1000</v>
      </c>
      <c r="C103" s="1">
        <f t="shared" si="128"/>
        <v>2.5000023809523809E-2</v>
      </c>
      <c r="D103" s="1">
        <f t="shared" si="129"/>
        <v>0.82813264207206461</v>
      </c>
      <c r="E103" s="1">
        <f t="shared" si="130"/>
        <v>73.560756637733959</v>
      </c>
      <c r="F103" s="1">
        <f t="shared" si="131"/>
        <v>20</v>
      </c>
      <c r="G103" s="1">
        <f t="shared" si="132"/>
        <v>966.56222238916189</v>
      </c>
      <c r="H103" s="1">
        <f t="shared" si="133"/>
        <v>64.355410905785504</v>
      </c>
      <c r="I103" s="1">
        <f t="shared" si="134"/>
        <v>239.99977142878913</v>
      </c>
      <c r="J103" s="3">
        <f t="shared" si="135"/>
        <v>20</v>
      </c>
      <c r="K103" s="47">
        <f t="shared" si="136"/>
        <v>0.10000009523809524</v>
      </c>
      <c r="L103" s="3">
        <f t="shared" si="137"/>
        <v>3</v>
      </c>
      <c r="M103" s="47">
        <f t="shared" si="138"/>
        <v>0.31847164088565361</v>
      </c>
      <c r="N103" s="47">
        <f t="shared" si="139"/>
        <v>271.61052878378558</v>
      </c>
      <c r="O103" s="1">
        <f t="shared" si="140"/>
        <v>0.99507787255167568</v>
      </c>
      <c r="P103" s="1">
        <f t="shared" si="141"/>
        <v>9.4199910285799735</v>
      </c>
      <c r="Q103" s="1">
        <f t="shared" si="142"/>
        <v>73.825693561437816</v>
      </c>
      <c r="R103" s="1">
        <f t="shared" si="143"/>
        <v>73.560756637733959</v>
      </c>
      <c r="S103" s="47">
        <f t="shared" si="144"/>
        <v>111.27361393038512</v>
      </c>
      <c r="T103" s="1">
        <f t="shared" si="145"/>
        <v>63.459719582194971</v>
      </c>
      <c r="U103" s="47">
        <f t="shared" si="146"/>
        <v>63.245805303542973</v>
      </c>
      <c r="V103" s="47">
        <f t="shared" si="147"/>
        <v>89.844082599551399</v>
      </c>
      <c r="W103" s="2">
        <f t="shared" si="153"/>
        <v>966.57222238916188</v>
      </c>
      <c r="X103" s="1">
        <f t="shared" si="148"/>
        <v>90.000085714285717</v>
      </c>
      <c r="Y103" s="1">
        <f t="shared" si="149"/>
        <v>8.8057266327461576</v>
      </c>
      <c r="Z103" s="2">
        <f t="shared" si="150"/>
        <v>4.2346971648218013</v>
      </c>
      <c r="AA103" s="3">
        <f t="shared" si="151"/>
        <v>1000</v>
      </c>
      <c r="AB103" s="1">
        <f t="shared" si="154"/>
        <v>3.4583838472216577E-2</v>
      </c>
      <c r="AC103" s="1">
        <f t="shared" si="155"/>
        <v>0</v>
      </c>
      <c r="AD103" s="64">
        <f t="shared" si="156"/>
        <v>0</v>
      </c>
      <c r="AE103" s="1">
        <f t="shared" si="152"/>
        <v>11.599054429695624</v>
      </c>
      <c r="AP103" s="1">
        <v>8.25</v>
      </c>
      <c r="AQ103" s="1">
        <f t="shared" si="124"/>
        <v>52.186266134524942</v>
      </c>
      <c r="AR103" s="1">
        <f t="shared" si="124"/>
        <v>61.487843758432405</v>
      </c>
      <c r="AS103" s="1">
        <f t="shared" si="124"/>
        <v>33.716070364712998</v>
      </c>
      <c r="AT103" s="1">
        <f t="shared" si="124"/>
        <v>30.992373400177048</v>
      </c>
      <c r="AU103" s="1">
        <f t="shared" si="124"/>
        <v>27.19161663076342</v>
      </c>
      <c r="AV103" s="1">
        <f t="shared" si="124"/>
        <v>22.013871216148665</v>
      </c>
      <c r="AW103" s="1">
        <f t="shared" si="124"/>
        <v>20</v>
      </c>
    </row>
    <row r="104" spans="1:49" ht="13.5" customHeight="1">
      <c r="A104" s="1">
        <v>5</v>
      </c>
      <c r="B104" s="3">
        <f t="shared" si="127"/>
        <v>1000</v>
      </c>
      <c r="C104" s="1">
        <f t="shared" si="128"/>
        <v>2.5000023809523809E-2</v>
      </c>
      <c r="D104" s="1">
        <f t="shared" si="129"/>
        <v>0.8278439546422266</v>
      </c>
      <c r="E104" s="1">
        <f t="shared" si="130"/>
        <v>73.825693561437816</v>
      </c>
      <c r="F104" s="1">
        <f t="shared" si="131"/>
        <v>20</v>
      </c>
      <c r="G104" s="1">
        <f t="shared" si="132"/>
        <v>972.97487357038665</v>
      </c>
      <c r="H104" s="1">
        <f t="shared" si="133"/>
        <v>64.559275019261321</v>
      </c>
      <c r="I104" s="1">
        <f t="shared" si="134"/>
        <v>239.99977142878913</v>
      </c>
      <c r="J104" s="3">
        <f t="shared" si="135"/>
        <v>22.360679774997898</v>
      </c>
      <c r="K104" s="47">
        <f t="shared" si="136"/>
        <v>0.12500011904761904</v>
      </c>
      <c r="L104" s="3">
        <f t="shared" si="137"/>
        <v>3</v>
      </c>
      <c r="M104" s="47">
        <f t="shared" si="138"/>
        <v>0.31847164088565355</v>
      </c>
      <c r="N104" s="47">
        <f t="shared" si="139"/>
        <v>235.72668173163211</v>
      </c>
      <c r="O104" s="1">
        <f t="shared" si="140"/>
        <v>0.99563854109947547</v>
      </c>
      <c r="P104" s="1">
        <f t="shared" si="141"/>
        <v>9.4199910285799753</v>
      </c>
      <c r="Q104" s="1">
        <f t="shared" si="142"/>
        <v>74.061480486681987</v>
      </c>
      <c r="R104" s="1">
        <f t="shared" si="143"/>
        <v>73.825693561437816</v>
      </c>
      <c r="S104" s="47">
        <f t="shared" si="144"/>
        <v>123.78825364665308</v>
      </c>
      <c r="T104" s="1">
        <f t="shared" si="145"/>
        <v>63.508499246686647</v>
      </c>
      <c r="U104" s="47">
        <f t="shared" si="146"/>
        <v>63.318738715398723</v>
      </c>
      <c r="V104" s="47">
        <f t="shared" si="147"/>
        <v>99.624373806426917</v>
      </c>
      <c r="W104" s="2">
        <f t="shared" si="153"/>
        <v>972.98487357038664</v>
      </c>
      <c r="X104" s="1">
        <f t="shared" si="148"/>
        <v>90.000085714285717</v>
      </c>
      <c r="Y104" s="1">
        <f t="shared" si="149"/>
        <v>9.3489476903137287</v>
      </c>
      <c r="Z104" s="2">
        <f t="shared" si="150"/>
        <v>4.1879016093469428</v>
      </c>
      <c r="AA104" s="3">
        <f t="shared" si="151"/>
        <v>1000</v>
      </c>
      <c r="AB104" s="1">
        <f t="shared" si="154"/>
        <v>2.776520700725893E-2</v>
      </c>
      <c r="AC104" s="1">
        <f t="shared" si="155"/>
        <v>0</v>
      </c>
      <c r="AD104" s="64">
        <f t="shared" si="156"/>
        <v>0</v>
      </c>
      <c r="AE104" s="1">
        <f t="shared" si="152"/>
        <v>11.599054429695624</v>
      </c>
      <c r="AP104" s="1">
        <v>8.5</v>
      </c>
      <c r="AQ104" s="1">
        <f t="shared" ref="AQ104:AW104" si="157">20+(AQ$70-20)*EXP(-$AP104/AQ$67)</f>
        <v>51.584515155173762</v>
      </c>
      <c r="AR104" s="1">
        <f t="shared" si="157"/>
        <v>61.026587765647385</v>
      </c>
      <c r="AS104" s="1">
        <f t="shared" si="157"/>
        <v>33.116194234049331</v>
      </c>
      <c r="AT104" s="1">
        <f t="shared" si="157"/>
        <v>30.441342160754452</v>
      </c>
      <c r="AU104" s="1">
        <f t="shared" si="157"/>
        <v>26.743845266146039</v>
      </c>
      <c r="AV104" s="1">
        <f t="shared" si="157"/>
        <v>21.817027101965806</v>
      </c>
      <c r="AW104" s="1">
        <f t="shared" si="157"/>
        <v>20</v>
      </c>
    </row>
    <row r="105" spans="1:49" ht="13.5" customHeight="1">
      <c r="A105" s="1">
        <v>6</v>
      </c>
      <c r="B105" s="3">
        <f t="shared" si="127"/>
        <v>1000</v>
      </c>
      <c r="C105" s="1">
        <f t="shared" si="128"/>
        <v>2.5000023809523809E-2</v>
      </c>
      <c r="D105" s="1">
        <f t="shared" si="129"/>
        <v>0.82758711502619375</v>
      </c>
      <c r="E105" s="1">
        <f t="shared" si="130"/>
        <v>74.061480486681987</v>
      </c>
      <c r="F105" s="1">
        <f t="shared" si="131"/>
        <v>20</v>
      </c>
      <c r="G105" s="1">
        <f t="shared" si="132"/>
        <v>978.69499283929861</v>
      </c>
      <c r="H105" s="1">
        <f t="shared" si="133"/>
        <v>64.740584670018023</v>
      </c>
      <c r="I105" s="1">
        <f t="shared" si="134"/>
        <v>239.99977142878913</v>
      </c>
      <c r="J105" s="3">
        <f t="shared" si="135"/>
        <v>24.494897427831781</v>
      </c>
      <c r="K105" s="47">
        <f t="shared" si="136"/>
        <v>0.15000014285714286</v>
      </c>
      <c r="L105" s="3">
        <f t="shared" si="137"/>
        <v>3</v>
      </c>
      <c r="M105" s="47">
        <f t="shared" si="138"/>
        <v>0.31847164088565366</v>
      </c>
      <c r="N105" s="47">
        <f t="shared" si="139"/>
        <v>209.95617470490646</v>
      </c>
      <c r="O105" s="1">
        <f t="shared" si="140"/>
        <v>0.99604622261797837</v>
      </c>
      <c r="P105" s="1">
        <f t="shared" si="141"/>
        <v>9.4199910285799717</v>
      </c>
      <c r="Q105" s="1">
        <f t="shared" si="142"/>
        <v>74.276076008388841</v>
      </c>
      <c r="R105" s="1">
        <f t="shared" si="143"/>
        <v>74.061480486681987</v>
      </c>
      <c r="S105" s="47">
        <f t="shared" si="144"/>
        <v>135.19530743263138</v>
      </c>
      <c r="T105" s="1">
        <f t="shared" si="145"/>
        <v>63.555713041168602</v>
      </c>
      <c r="U105" s="47">
        <f t="shared" si="146"/>
        <v>63.383503448088604</v>
      </c>
      <c r="V105" s="47">
        <f t="shared" si="147"/>
        <v>108.49214696615388</v>
      </c>
      <c r="W105" s="2">
        <f t="shared" si="153"/>
        <v>978.7049928392986</v>
      </c>
      <c r="X105" s="1">
        <f t="shared" si="148"/>
        <v>90.000085714285717</v>
      </c>
      <c r="Y105" s="1">
        <f t="shared" si="149"/>
        <v>9.8204010537769921</v>
      </c>
      <c r="Z105" s="2">
        <f t="shared" si="150"/>
        <v>4.1494419193737766</v>
      </c>
      <c r="AA105" s="3">
        <f t="shared" si="151"/>
        <v>1000</v>
      </c>
      <c r="AB105" s="1">
        <f t="shared" si="154"/>
        <v>2.1758351409777665E-2</v>
      </c>
      <c r="AC105" s="1">
        <f t="shared" si="155"/>
        <v>0</v>
      </c>
      <c r="AD105" s="64">
        <f t="shared" si="156"/>
        <v>0</v>
      </c>
      <c r="AE105" s="1">
        <f t="shared" si="152"/>
        <v>11.599054429695624</v>
      </c>
    </row>
    <row r="106" spans="1:49" ht="13.5" customHeight="1">
      <c r="A106" s="1">
        <v>7</v>
      </c>
      <c r="B106" s="3">
        <f t="shared" si="127"/>
        <v>1000</v>
      </c>
      <c r="C106" s="1">
        <f t="shared" si="128"/>
        <v>2.5000023809523809E-2</v>
      </c>
      <c r="D106" s="1">
        <f t="shared" si="129"/>
        <v>0.82735342819381896</v>
      </c>
      <c r="E106" s="1">
        <f t="shared" si="130"/>
        <v>74.276076008388841</v>
      </c>
      <c r="F106" s="1">
        <f t="shared" si="131"/>
        <v>20</v>
      </c>
      <c r="G106" s="1">
        <f t="shared" si="132"/>
        <v>983.91167472154996</v>
      </c>
      <c r="H106" s="1">
        <f t="shared" si="133"/>
        <v>64.9054975544488</v>
      </c>
      <c r="I106" s="1">
        <f t="shared" si="134"/>
        <v>239.99977142878913</v>
      </c>
      <c r="J106" s="3">
        <f t="shared" si="135"/>
        <v>26.457513110645905</v>
      </c>
      <c r="K106" s="47">
        <f t="shared" si="136"/>
        <v>0.17500016666666668</v>
      </c>
      <c r="L106" s="3">
        <f t="shared" si="137"/>
        <v>3</v>
      </c>
      <c r="M106" s="47">
        <f t="shared" si="138"/>
        <v>0.31847164088565366</v>
      </c>
      <c r="N106" s="47">
        <f t="shared" si="139"/>
        <v>190.37829811386371</v>
      </c>
      <c r="O106" s="1">
        <f t="shared" si="140"/>
        <v>0.99635943864194021</v>
      </c>
      <c r="P106" s="1">
        <f t="shared" si="141"/>
        <v>9.4199910285799717</v>
      </c>
      <c r="Q106" s="1">
        <f t="shared" si="142"/>
        <v>74.47439337993157</v>
      </c>
      <c r="R106" s="1">
        <f t="shared" si="143"/>
        <v>74.276076008388841</v>
      </c>
      <c r="S106" s="47">
        <f t="shared" si="144"/>
        <v>145.7634069060644</v>
      </c>
      <c r="T106" s="1">
        <f t="shared" si="145"/>
        <v>63.600931177568626</v>
      </c>
      <c r="U106" s="47">
        <f t="shared" si="146"/>
        <v>63.442199312348144</v>
      </c>
      <c r="V106" s="47">
        <f t="shared" si="147"/>
        <v>116.66803204935897</v>
      </c>
      <c r="W106" s="2">
        <f t="shared" si="153"/>
        <v>983.92167472154995</v>
      </c>
      <c r="X106" s="1">
        <f t="shared" si="148"/>
        <v>90.000085714285717</v>
      </c>
      <c r="Y106" s="1">
        <f t="shared" si="149"/>
        <v>10.240313403186805</v>
      </c>
      <c r="Z106" s="2">
        <f t="shared" si="150"/>
        <v>4.1167106759465391</v>
      </c>
      <c r="AA106" s="3">
        <f t="shared" si="151"/>
        <v>1000</v>
      </c>
      <c r="AB106" s="1">
        <f t="shared" si="154"/>
        <v>1.6341062191764566E-2</v>
      </c>
      <c r="AC106" s="1">
        <f t="shared" si="155"/>
        <v>0</v>
      </c>
      <c r="AD106" s="64">
        <f t="shared" si="156"/>
        <v>0</v>
      </c>
      <c r="AE106" s="1">
        <f t="shared" si="152"/>
        <v>11.599054429695624</v>
      </c>
    </row>
    <row r="107" spans="1:49" ht="13.5" customHeight="1">
      <c r="A107" s="1">
        <v>8</v>
      </c>
      <c r="B107" s="3">
        <f t="shared" si="127"/>
        <v>1000</v>
      </c>
      <c r="C107" s="1">
        <f t="shared" si="128"/>
        <v>2.5000023809523809E-2</v>
      </c>
      <c r="D107" s="1">
        <f t="shared" si="129"/>
        <v>0.82713752635219473</v>
      </c>
      <c r="E107" s="1">
        <f t="shared" si="130"/>
        <v>74.47439337993157</v>
      </c>
      <c r="F107" s="1">
        <f t="shared" si="131"/>
        <v>20</v>
      </c>
      <c r="G107" s="1">
        <f t="shared" si="132"/>
        <v>988.74167262029187</v>
      </c>
      <c r="H107" s="1">
        <f t="shared" si="133"/>
        <v>65.057814989812968</v>
      </c>
      <c r="I107" s="1">
        <f t="shared" si="134"/>
        <v>239.99977142878913</v>
      </c>
      <c r="J107" s="3">
        <f t="shared" si="135"/>
        <v>28.284271247461902</v>
      </c>
      <c r="K107" s="47">
        <f t="shared" si="136"/>
        <v>0.2000001904761905</v>
      </c>
      <c r="L107" s="3">
        <f t="shared" si="137"/>
        <v>3</v>
      </c>
      <c r="M107" s="47">
        <f t="shared" si="138"/>
        <v>0.31847164088565361</v>
      </c>
      <c r="N107" s="47">
        <f t="shared" si="139"/>
        <v>174.90110520104352</v>
      </c>
      <c r="O107" s="1">
        <f t="shared" si="140"/>
        <v>0.99660959896365831</v>
      </c>
      <c r="P107" s="1">
        <f t="shared" si="141"/>
        <v>9.4199910285799735</v>
      </c>
      <c r="Q107" s="1">
        <f t="shared" si="142"/>
        <v>74.659711723204055</v>
      </c>
      <c r="R107" s="1">
        <f t="shared" si="143"/>
        <v>74.47439337993157</v>
      </c>
      <c r="S107" s="47">
        <f t="shared" si="144"/>
        <v>155.66755660356566</v>
      </c>
      <c r="T107" s="1">
        <f t="shared" si="145"/>
        <v>63.644151272031245</v>
      </c>
      <c r="U107" s="47">
        <f t="shared" si="146"/>
        <v>63.496180096328295</v>
      </c>
      <c r="V107" s="47">
        <f t="shared" si="147"/>
        <v>124.29590596741726</v>
      </c>
      <c r="W107" s="2">
        <f t="shared" si="153"/>
        <v>988.75167262029186</v>
      </c>
      <c r="X107" s="1">
        <f t="shared" si="148"/>
        <v>90.000085714285717</v>
      </c>
      <c r="Y107" s="1">
        <f t="shared" si="149"/>
        <v>10.621069999414532</v>
      </c>
      <c r="Z107" s="2">
        <f t="shared" si="150"/>
        <v>4.0881716349786714</v>
      </c>
      <c r="AA107" s="3">
        <f t="shared" si="151"/>
        <v>1000</v>
      </c>
      <c r="AB107" s="1">
        <f t="shared" si="154"/>
        <v>1.1376291632355873E-2</v>
      </c>
      <c r="AC107" s="1">
        <f t="shared" si="155"/>
        <v>0</v>
      </c>
      <c r="AD107" s="64">
        <f t="shared" si="156"/>
        <v>0</v>
      </c>
      <c r="AE107" s="1">
        <f t="shared" si="152"/>
        <v>11.599054429695624</v>
      </c>
    </row>
    <row r="108" spans="1:49" ht="13.5" customHeight="1">
      <c r="A108" s="1">
        <v>9</v>
      </c>
      <c r="B108" s="3">
        <f t="shared" si="127"/>
        <v>1000</v>
      </c>
      <c r="C108" s="1">
        <f t="shared" si="128"/>
        <v>2.5000023809523809E-2</v>
      </c>
      <c r="D108" s="1">
        <f t="shared" si="129"/>
        <v>0.82693582706350133</v>
      </c>
      <c r="E108" s="1">
        <f t="shared" si="130"/>
        <v>74.659711723204055</v>
      </c>
      <c r="F108" s="1">
        <f t="shared" si="131"/>
        <v>20</v>
      </c>
      <c r="G108" s="1">
        <f t="shared" si="132"/>
        <v>993.26291520777397</v>
      </c>
      <c r="H108" s="1">
        <f t="shared" si="133"/>
        <v>65.2000739208803</v>
      </c>
      <c r="I108" s="1">
        <f t="shared" si="134"/>
        <v>239.99977142878913</v>
      </c>
      <c r="J108" s="3">
        <f t="shared" si="135"/>
        <v>30</v>
      </c>
      <c r="K108" s="47">
        <f t="shared" si="136"/>
        <v>0.22500021428571432</v>
      </c>
      <c r="L108" s="3">
        <f t="shared" si="137"/>
        <v>3</v>
      </c>
      <c r="M108" s="47">
        <f t="shared" si="138"/>
        <v>0.31847164088565366</v>
      </c>
      <c r="N108" s="47">
        <f t="shared" si="139"/>
        <v>162.29707844576296</v>
      </c>
      <c r="O108" s="1">
        <f t="shared" si="140"/>
        <v>0.99681524389691367</v>
      </c>
      <c r="P108" s="1">
        <f t="shared" si="141"/>
        <v>9.4199910285799717</v>
      </c>
      <c r="Q108" s="1">
        <f t="shared" si="142"/>
        <v>74.834345740459725</v>
      </c>
      <c r="R108" s="1">
        <f t="shared" si="143"/>
        <v>74.659711723204055</v>
      </c>
      <c r="S108" s="47">
        <f t="shared" si="144"/>
        <v>165.02930347722835</v>
      </c>
      <c r="T108" s="1">
        <f t="shared" si="145"/>
        <v>63.685501632389624</v>
      </c>
      <c r="U108" s="47">
        <f t="shared" si="146"/>
        <v>63.546373964449486</v>
      </c>
      <c r="V108" s="47">
        <f t="shared" si="147"/>
        <v>131.47577141833403</v>
      </c>
      <c r="W108" s="2">
        <f t="shared" si="153"/>
        <v>993.27291520777396</v>
      </c>
      <c r="X108" s="1">
        <f t="shared" si="148"/>
        <v>90.000085714285717</v>
      </c>
      <c r="Y108" s="1">
        <f t="shared" si="149"/>
        <v>10.970872209816619</v>
      </c>
      <c r="Z108" s="2">
        <f t="shared" si="150"/>
        <v>4.0628404415297439</v>
      </c>
      <c r="AA108" s="3">
        <f t="shared" si="151"/>
        <v>1000</v>
      </c>
      <c r="AB108" s="1">
        <f t="shared" si="154"/>
        <v>6.7726449490661533E-3</v>
      </c>
      <c r="AC108" s="1">
        <f t="shared" si="155"/>
        <v>0</v>
      </c>
      <c r="AD108" s="64">
        <f t="shared" si="156"/>
        <v>0</v>
      </c>
      <c r="AE108" s="1">
        <f t="shared" si="152"/>
        <v>11.599054429695624</v>
      </c>
    </row>
    <row r="109" spans="1:49" ht="13.5" customHeight="1">
      <c r="A109" s="1">
        <v>10</v>
      </c>
      <c r="B109" s="3">
        <f t="shared" si="127"/>
        <v>1000</v>
      </c>
      <c r="C109" s="1">
        <f t="shared" si="128"/>
        <v>2.5000023809523809E-2</v>
      </c>
      <c r="D109" s="1">
        <f t="shared" si="129"/>
        <v>0.8267458015395055</v>
      </c>
      <c r="E109" s="1">
        <f t="shared" si="130"/>
        <v>74.834345740459725</v>
      </c>
      <c r="F109" s="1">
        <f t="shared" si="131"/>
        <v>20</v>
      </c>
      <c r="G109" s="1">
        <f t="shared" si="132"/>
        <v>997.53041506180477</v>
      </c>
      <c r="H109" s="1">
        <f t="shared" si="133"/>
        <v>65.334065121090745</v>
      </c>
      <c r="I109" s="1">
        <f t="shared" si="134"/>
        <v>239.99977142878913</v>
      </c>
      <c r="J109" s="3">
        <f t="shared" si="135"/>
        <v>31.622776601683793</v>
      </c>
      <c r="K109" s="47">
        <f t="shared" si="136"/>
        <v>0.25000023809523814</v>
      </c>
      <c r="L109" s="3">
        <f t="shared" si="137"/>
        <v>3</v>
      </c>
      <c r="M109" s="47">
        <f t="shared" si="138"/>
        <v>0.31847164088565366</v>
      </c>
      <c r="N109" s="47">
        <f t="shared" si="139"/>
        <v>151.79403149373931</v>
      </c>
      <c r="O109" s="1">
        <f t="shared" si="140"/>
        <v>0.99698810437199492</v>
      </c>
      <c r="P109" s="1">
        <f t="shared" si="141"/>
        <v>9.4199910285799717</v>
      </c>
      <c r="Q109" s="1">
        <f t="shared" si="142"/>
        <v>75</v>
      </c>
      <c r="R109" s="1">
        <f t="shared" si="143"/>
        <v>74.834345740459725</v>
      </c>
      <c r="S109" s="47">
        <f t="shared" si="144"/>
        <v>173.9371381715529</v>
      </c>
      <c r="T109" s="1">
        <f t="shared" si="145"/>
        <v>63.725143080113611</v>
      </c>
      <c r="U109" s="47">
        <f t="shared" si="146"/>
        <v>63.593447512836718</v>
      </c>
      <c r="V109" s="47">
        <f t="shared" si="147"/>
        <v>138.28047733630257</v>
      </c>
      <c r="W109" s="2">
        <f t="shared" si="153"/>
        <v>997.54041506180477</v>
      </c>
      <c r="X109" s="1">
        <f t="shared" si="148"/>
        <v>90.000085714285717</v>
      </c>
      <c r="Y109" s="1">
        <f t="shared" si="149"/>
        <v>11.295466366708146</v>
      </c>
      <c r="Z109" s="2">
        <f t="shared" si="150"/>
        <v>4.04004702282678</v>
      </c>
      <c r="AA109" s="3">
        <f t="shared" si="151"/>
        <v>1000</v>
      </c>
      <c r="AB109" s="1">
        <f t="shared" si="154"/>
        <v>2.4656494123527217E-3</v>
      </c>
      <c r="AC109" s="1">
        <f t="shared" si="155"/>
        <v>0</v>
      </c>
      <c r="AD109" s="64">
        <f t="shared" si="156"/>
        <v>0</v>
      </c>
      <c r="AE109" s="1">
        <f t="shared" si="152"/>
        <v>11.599054429695624</v>
      </c>
    </row>
    <row r="110" spans="1:49" ht="13.5" customHeight="1">
      <c r="K110" s="47"/>
      <c r="L110" s="47"/>
      <c r="M110" s="47"/>
      <c r="N110" s="47">
        <f>SUM(N100:N109)</f>
        <v>2799.527214847812</v>
      </c>
      <c r="O110" s="2" t="s">
        <v>46</v>
      </c>
      <c r="P110" s="2"/>
      <c r="Q110" s="2"/>
      <c r="R110" s="3">
        <f>R36</f>
        <v>75</v>
      </c>
      <c r="S110" s="50" t="s">
        <v>45</v>
      </c>
      <c r="T110" s="2"/>
      <c r="U110" s="11">
        <f>U109</f>
        <v>63.593447512836718</v>
      </c>
      <c r="V110" s="47"/>
      <c r="W110" s="2"/>
      <c r="Y110" s="1">
        <f>N111</f>
        <v>11.599054429695624</v>
      </c>
      <c r="AE110" s="1">
        <f t="shared" si="152"/>
        <v>11.599054429695624</v>
      </c>
    </row>
    <row r="111" spans="1:49" ht="13.5" customHeight="1">
      <c r="K111" s="47"/>
      <c r="L111" s="2" t="s">
        <v>44</v>
      </c>
      <c r="M111" s="2"/>
      <c r="N111" s="47">
        <f>N110*2/1000+Y111</f>
        <v>11.599054429695624</v>
      </c>
      <c r="O111" s="2" t="s">
        <v>1</v>
      </c>
      <c r="P111" s="1">
        <f>SUM(P100:P109)</f>
        <v>94.199910285799731</v>
      </c>
      <c r="Q111" s="1" t="s">
        <v>43</v>
      </c>
      <c r="S111" s="47"/>
      <c r="U111" s="47"/>
      <c r="V111" s="47"/>
      <c r="W111" s="2"/>
      <c r="Y111" s="3">
        <f>Y37</f>
        <v>6</v>
      </c>
      <c r="Z111" s="3" t="s">
        <v>42</v>
      </c>
      <c r="AE111" s="1">
        <f>N111</f>
        <v>11.599054429695624</v>
      </c>
    </row>
    <row r="112" spans="1:49" ht="13.5" customHeight="1">
      <c r="L112" s="60" t="s">
        <v>41</v>
      </c>
      <c r="N112" s="3">
        <f>M36</f>
        <v>15</v>
      </c>
      <c r="O112" s="1" t="s">
        <v>1</v>
      </c>
    </row>
    <row r="115" spans="1:39" ht="13.5" customHeight="1" thickBot="1"/>
    <row r="116" spans="1:39" ht="13.5" customHeight="1">
      <c r="B116" s="14" t="s">
        <v>40</v>
      </c>
      <c r="C116" s="15"/>
      <c r="D116" s="15"/>
      <c r="E116" s="15"/>
      <c r="F116" s="15"/>
      <c r="G116" s="15"/>
      <c r="H116" s="15" t="s">
        <v>39</v>
      </c>
      <c r="I116" s="16"/>
      <c r="J116" s="14" t="s">
        <v>38</v>
      </c>
      <c r="K116" s="15"/>
      <c r="L116" s="15"/>
      <c r="M116" s="15"/>
      <c r="N116" s="15" t="s">
        <v>37</v>
      </c>
      <c r="O116" s="15"/>
      <c r="P116" s="15"/>
      <c r="Q116" s="15"/>
      <c r="R116" s="15"/>
      <c r="S116" s="16"/>
      <c r="T116" s="14" t="s">
        <v>36</v>
      </c>
      <c r="U116" s="15"/>
      <c r="V116" s="16"/>
      <c r="W116" s="14"/>
      <c r="X116" s="15"/>
      <c r="Y116" s="15"/>
      <c r="Z116" s="16"/>
    </row>
    <row r="117" spans="1:39" ht="13.5" customHeight="1">
      <c r="B117" s="17" t="s">
        <v>35</v>
      </c>
      <c r="C117" s="18" t="s">
        <v>22</v>
      </c>
      <c r="D117" s="18"/>
      <c r="E117" s="18" t="s">
        <v>34</v>
      </c>
      <c r="F117" s="18" t="s">
        <v>33</v>
      </c>
      <c r="G117" s="18" t="s">
        <v>7</v>
      </c>
      <c r="H117" s="18" t="s">
        <v>32</v>
      </c>
      <c r="I117" s="19" t="s">
        <v>22</v>
      </c>
      <c r="J117" s="17" t="s">
        <v>31</v>
      </c>
      <c r="K117" s="18"/>
      <c r="L117" s="18" t="s">
        <v>30</v>
      </c>
      <c r="M117" s="18"/>
      <c r="N117" s="18" t="s">
        <v>29</v>
      </c>
      <c r="O117" s="18"/>
      <c r="P117" s="18" t="s">
        <v>28</v>
      </c>
      <c r="Q117" s="20" t="s">
        <v>27</v>
      </c>
      <c r="R117" s="21" t="s">
        <v>26</v>
      </c>
      <c r="S117" s="22" t="s">
        <v>7</v>
      </c>
      <c r="T117" s="23" t="s">
        <v>25</v>
      </c>
      <c r="U117" s="24" t="s">
        <v>24</v>
      </c>
      <c r="V117" s="25" t="s">
        <v>7</v>
      </c>
      <c r="W117" s="26" t="s">
        <v>23</v>
      </c>
      <c r="X117" s="4" t="s">
        <v>22</v>
      </c>
      <c r="Y117" s="4" t="s">
        <v>21</v>
      </c>
      <c r="Z117" s="5" t="s">
        <v>20</v>
      </c>
    </row>
    <row r="118" spans="1:39" ht="13.5" customHeight="1">
      <c r="B118" s="54" t="s">
        <v>3</v>
      </c>
      <c r="C118" s="28" t="s">
        <v>17</v>
      </c>
      <c r="D118" s="20" t="s">
        <v>13</v>
      </c>
      <c r="E118" s="20" t="s">
        <v>19</v>
      </c>
      <c r="F118" s="28" t="s">
        <v>19</v>
      </c>
      <c r="G118" s="20" t="s">
        <v>3</v>
      </c>
      <c r="H118" s="20" t="s">
        <v>19</v>
      </c>
      <c r="I118" s="29" t="s">
        <v>12</v>
      </c>
      <c r="J118" s="55" t="s">
        <v>18</v>
      </c>
      <c r="K118" s="20" t="s">
        <v>17</v>
      </c>
      <c r="L118" s="56" t="s">
        <v>16</v>
      </c>
      <c r="M118" s="20" t="s">
        <v>15</v>
      </c>
      <c r="N118" s="20" t="s">
        <v>14</v>
      </c>
      <c r="O118" s="20" t="s">
        <v>13</v>
      </c>
      <c r="P118" s="20" t="s">
        <v>12</v>
      </c>
      <c r="Q118" s="20" t="s">
        <v>11</v>
      </c>
      <c r="R118" s="21" t="s">
        <v>11</v>
      </c>
      <c r="S118" s="22" t="s">
        <v>10</v>
      </c>
      <c r="T118" s="23" t="s">
        <v>9</v>
      </c>
      <c r="U118" s="24" t="s">
        <v>9</v>
      </c>
      <c r="V118" s="33" t="s">
        <v>8</v>
      </c>
      <c r="W118" s="34" t="s">
        <v>7</v>
      </c>
      <c r="X118" s="4" t="s">
        <v>6</v>
      </c>
      <c r="Y118" s="6" t="s">
        <v>5</v>
      </c>
      <c r="Z118" s="7" t="s">
        <v>5</v>
      </c>
    </row>
    <row r="119" spans="1:39" ht="13.5" customHeight="1" thickBot="1">
      <c r="B119" s="57"/>
      <c r="C119" s="3">
        <f>C99</f>
        <v>1.05</v>
      </c>
      <c r="D119" s="37"/>
      <c r="E119" s="38"/>
      <c r="F119" s="38"/>
      <c r="G119" s="37"/>
      <c r="H119" s="37"/>
      <c r="I119" s="39"/>
      <c r="J119" s="58" t="s">
        <v>4</v>
      </c>
      <c r="K119" s="44"/>
      <c r="L119" s="59"/>
      <c r="M119" s="37"/>
      <c r="N119" s="37"/>
      <c r="O119" s="37"/>
      <c r="P119" s="37"/>
      <c r="Q119" s="42"/>
      <c r="R119" s="42"/>
      <c r="S119" s="52" t="s">
        <v>3</v>
      </c>
      <c r="T119" s="43"/>
      <c r="U119" s="44"/>
      <c r="V119" s="39" t="s">
        <v>3</v>
      </c>
      <c r="W119" s="45" t="s">
        <v>3</v>
      </c>
      <c r="X119" s="8" t="s">
        <v>2</v>
      </c>
      <c r="Y119" s="9" t="s">
        <v>1</v>
      </c>
      <c r="Z119" s="13" t="s">
        <v>0</v>
      </c>
    </row>
    <row r="120" spans="1:39" ht="13.5" customHeight="1">
      <c r="A120" s="1">
        <v>1</v>
      </c>
      <c r="B120" s="3">
        <f t="shared" ref="B120:B129" si="158">B100</f>
        <v>1000</v>
      </c>
      <c r="C120" s="1">
        <f>IF(B120&lt;1,0.000001,C100*(1+AB100))</f>
        <v>2.6700478074666138E-2</v>
      </c>
      <c r="D120" s="1">
        <f t="shared" ref="D120:D129" si="159">EXP((1+(E120-F120-55)/55*$B$18)*B120/C120/-210000)</f>
        <v>0.83930965000317881</v>
      </c>
      <c r="E120" s="1">
        <f t="shared" ref="E120:E129" si="160">R120</f>
        <v>72.427593469408066</v>
      </c>
      <c r="F120" s="1">
        <f>F100</f>
        <v>20</v>
      </c>
      <c r="G120" s="1">
        <f t="shared" ref="G120:G129" si="161">(E120-F120)*C120*(1-D120)*4200</f>
        <v>944.75249559192946</v>
      </c>
      <c r="H120" s="1">
        <f t="shared" ref="H120:H129" si="162">(E120-F120)*D120+F120</f>
        <v>64.002985125317821</v>
      </c>
      <c r="I120" s="1">
        <f t="shared" ref="I120:I129" si="163">B120*0.001*6/C120</f>
        <v>224.71507750615524</v>
      </c>
      <c r="J120" s="3">
        <f t="shared" ref="J120:J129" si="164">J100</f>
        <v>10</v>
      </c>
      <c r="K120" s="47">
        <f t="shared" ref="K120:K129" si="165">K119+C120</f>
        <v>2.6700478074666138E-2</v>
      </c>
      <c r="L120" s="3">
        <f t="shared" ref="L120:L129" si="166">L100</f>
        <v>3</v>
      </c>
      <c r="M120" s="47">
        <f t="shared" ref="M120:M129" si="167">K120/(J120*J120*3.14/4000)</f>
        <v>0.34013347865816734</v>
      </c>
      <c r="N120" s="47">
        <f t="shared" ref="N120:N129" si="168">L120*26400/J120^1.27*M120^1.83*$N$69</f>
        <v>738.84537896376742</v>
      </c>
      <c r="O120" s="1">
        <f t="shared" ref="O120:O129" si="169">EXP(-(J120+2)*3.14/1000*$O$66/(M120*J120*J120*3.14/4000*4200)*L120)</f>
        <v>0.98997055736227868</v>
      </c>
      <c r="P120" s="1">
        <f t="shared" ref="P120:P129" si="170">L120/M120</f>
        <v>8.8200667921165934</v>
      </c>
      <c r="Q120" s="1">
        <f t="shared" ref="Q120:Q129" si="171">R121</f>
        <v>72.958740115563103</v>
      </c>
      <c r="R120" s="1">
        <f t="shared" ref="R120:R129" si="172">(Q120-F120)*O120+F120</f>
        <v>72.427593469408066</v>
      </c>
      <c r="S120" s="47">
        <f t="shared" ref="S120:S129" si="173">K120*(1-O120)*4200*(Q120-F120)</f>
        <v>59.56385139639842</v>
      </c>
      <c r="T120" s="1">
        <f t="shared" ref="T120:T129" si="174">(U119*K119+H120*C120)/K120</f>
        <v>64.002985125317821</v>
      </c>
      <c r="U120" s="47">
        <f t="shared" ref="U120:U129" si="175">(T120-F120)*O120+F120</f>
        <v>63.561659710114938</v>
      </c>
      <c r="V120" s="47">
        <f t="shared" ref="V120:V129" si="176">K120*(1-O120)*4200*(T120-F120)</f>
        <v>49.491118204153146</v>
      </c>
      <c r="W120" s="2">
        <f t="shared" ref="W120:W129" si="177">G120+(S120+V120)*$AB$22+0.01</f>
        <v>944.76249559192945</v>
      </c>
      <c r="X120" s="1">
        <f t="shared" ref="X120:X129" si="178">C120*3600</f>
        <v>96.121721068798095</v>
      </c>
      <c r="Y120" s="1">
        <f t="shared" ref="Y120:Y129" si="179">Y121-2*N120/1000</f>
        <v>6</v>
      </c>
      <c r="Z120" s="2">
        <f t="shared" ref="Z120:Z129" si="180">-1.1-1.8*LOG10(Y120/X120/X120)</f>
        <v>4.6374852871410894</v>
      </c>
      <c r="AA120" s="3">
        <f t="shared" ref="AA120:AA129" si="181">AA100</f>
        <v>1000</v>
      </c>
      <c r="AB120" s="1">
        <f t="shared" ref="AB120:AB183" si="182">((AA120/W120)-1)*AB$23+AC120+AD120</f>
        <v>5.8467079997139626E-2</v>
      </c>
      <c r="AC120" s="1">
        <f>((N132/N131)-1)*AB$24</f>
        <v>0</v>
      </c>
      <c r="AD120" s="64">
        <f t="shared" ref="AD120:AD183" si="183">(AC$21-(X120/1000/SQRT(Y120/104))*1000/B120)*AB$21</f>
        <v>0</v>
      </c>
      <c r="AE120" s="1">
        <f t="shared" ref="AE120:AE130" si="184">AE121</f>
        <v>12.134721278414293</v>
      </c>
    </row>
    <row r="121" spans="1:39" ht="13.5" customHeight="1">
      <c r="A121" s="1">
        <v>2</v>
      </c>
      <c r="B121" s="3">
        <f t="shared" si="158"/>
        <v>1000</v>
      </c>
      <c r="C121" s="1">
        <f t="shared" ref="C121:C129" si="185">IF(B121&lt;1,0.000001,C101*(1+AB101))</f>
        <v>2.6319211063804696E-2</v>
      </c>
      <c r="D121" s="1">
        <f t="shared" si="159"/>
        <v>0.83662681210763867</v>
      </c>
      <c r="E121" s="1">
        <f t="shared" si="160"/>
        <v>72.958740115563103</v>
      </c>
      <c r="F121" s="1">
        <f t="shared" ref="F121:F129" si="186">F101</f>
        <v>20</v>
      </c>
      <c r="G121" s="1">
        <f t="shared" si="161"/>
        <v>956.40224191357106</v>
      </c>
      <c r="H121" s="1">
        <f t="shared" si="162"/>
        <v>64.306701916120488</v>
      </c>
      <c r="I121" s="1">
        <f t="shared" si="163"/>
        <v>227.97035919710589</v>
      </c>
      <c r="J121" s="3">
        <f t="shared" si="164"/>
        <v>14.142135623730951</v>
      </c>
      <c r="K121" s="47">
        <f t="shared" si="165"/>
        <v>5.3019689138470834E-2</v>
      </c>
      <c r="L121" s="3">
        <f t="shared" si="166"/>
        <v>3</v>
      </c>
      <c r="M121" s="47">
        <f t="shared" si="167"/>
        <v>0.3377050263596868</v>
      </c>
      <c r="N121" s="47">
        <f t="shared" si="168"/>
        <v>469.57483815815129</v>
      </c>
      <c r="O121" s="1">
        <f t="shared" si="169"/>
        <v>0.99319475945813918</v>
      </c>
      <c r="P121" s="1">
        <f t="shared" si="170"/>
        <v>8.883492296039222</v>
      </c>
      <c r="Q121" s="1">
        <f t="shared" si="171"/>
        <v>73.321606473695041</v>
      </c>
      <c r="R121" s="1">
        <f t="shared" si="172"/>
        <v>72.958740115563103</v>
      </c>
      <c r="S121" s="47">
        <f t="shared" si="173"/>
        <v>80.80405832925041</v>
      </c>
      <c r="T121" s="1">
        <f t="shared" si="174"/>
        <v>63.931501996818852</v>
      </c>
      <c r="U121" s="47">
        <f t="shared" si="175"/>
        <v>63.632537558365264</v>
      </c>
      <c r="V121" s="47">
        <f t="shared" si="176"/>
        <v>66.574206679121033</v>
      </c>
      <c r="W121" s="2">
        <f t="shared" si="177"/>
        <v>956.41224191357105</v>
      </c>
      <c r="X121" s="1">
        <f t="shared" si="178"/>
        <v>94.749159829696907</v>
      </c>
      <c r="Y121" s="1">
        <f t="shared" si="179"/>
        <v>7.4776907579275349</v>
      </c>
      <c r="Z121" s="2">
        <f t="shared" si="180"/>
        <v>4.4428898220107111</v>
      </c>
      <c r="AA121" s="3">
        <f t="shared" si="181"/>
        <v>1000</v>
      </c>
      <c r="AB121" s="1">
        <f t="shared" si="182"/>
        <v>4.5574236899372345E-2</v>
      </c>
      <c r="AC121" s="1">
        <f t="shared" ref="AC121:AC129" si="187">AC120</f>
        <v>0</v>
      </c>
      <c r="AD121" s="64">
        <f t="shared" si="183"/>
        <v>0</v>
      </c>
      <c r="AE121" s="1">
        <f t="shared" si="184"/>
        <v>12.134721278414293</v>
      </c>
    </row>
    <row r="122" spans="1:39" ht="13.5" customHeight="1">
      <c r="A122" s="1">
        <v>3</v>
      </c>
      <c r="B122" s="3">
        <f t="shared" si="158"/>
        <v>1000</v>
      </c>
      <c r="C122" s="1">
        <f t="shared" si="185"/>
        <v>2.6065502359994389E-2</v>
      </c>
      <c r="D122" s="1">
        <f t="shared" si="159"/>
        <v>0.83479305399165593</v>
      </c>
      <c r="E122" s="1">
        <f t="shared" si="160"/>
        <v>73.321606473695041</v>
      </c>
      <c r="F122" s="1">
        <f t="shared" si="186"/>
        <v>20</v>
      </c>
      <c r="G122" s="1">
        <f t="shared" si="161"/>
        <v>964.37716464620178</v>
      </c>
      <c r="H122" s="1">
        <f t="shared" si="162"/>
        <v>64.512506711917126</v>
      </c>
      <c r="I122" s="1">
        <f t="shared" si="163"/>
        <v>230.18930988296867</v>
      </c>
      <c r="J122" s="3">
        <f t="shared" si="164"/>
        <v>17.320508075688775</v>
      </c>
      <c r="K122" s="47">
        <f t="shared" si="165"/>
        <v>7.9085191498465227E-2</v>
      </c>
      <c r="L122" s="3">
        <f t="shared" si="166"/>
        <v>3</v>
      </c>
      <c r="M122" s="47">
        <f t="shared" si="167"/>
        <v>0.33581822292341912</v>
      </c>
      <c r="N122" s="47">
        <f t="shared" si="168"/>
        <v>359.28078587537095</v>
      </c>
      <c r="O122" s="1">
        <f t="shared" si="169"/>
        <v>0.99453568517119995</v>
      </c>
      <c r="P122" s="1">
        <f t="shared" si="170"/>
        <v>8.9334044289911212</v>
      </c>
      <c r="Q122" s="1">
        <f t="shared" si="171"/>
        <v>73.614573382066453</v>
      </c>
      <c r="R122" s="1">
        <f t="shared" si="172"/>
        <v>73.321606473695041</v>
      </c>
      <c r="S122" s="47">
        <f t="shared" si="173"/>
        <v>97.311245015319813</v>
      </c>
      <c r="T122" s="1">
        <f t="shared" si="174"/>
        <v>63.922564523136202</v>
      </c>
      <c r="U122" s="47">
        <f t="shared" si="175"/>
        <v>63.682557802493506</v>
      </c>
      <c r="V122" s="47">
        <f t="shared" si="176"/>
        <v>79.720105344375725</v>
      </c>
      <c r="W122" s="2">
        <f t="shared" si="177"/>
        <v>964.38716464620177</v>
      </c>
      <c r="X122" s="1">
        <f t="shared" si="178"/>
        <v>93.835808495979805</v>
      </c>
      <c r="Y122" s="1">
        <f t="shared" si="179"/>
        <v>8.4168404342438379</v>
      </c>
      <c r="Z122" s="2">
        <f t="shared" si="180"/>
        <v>4.335258591856844</v>
      </c>
      <c r="AA122" s="3">
        <f t="shared" si="181"/>
        <v>1000</v>
      </c>
      <c r="AB122" s="1">
        <f t="shared" si="182"/>
        <v>3.6927944148720915E-2</v>
      </c>
      <c r="AC122" s="1">
        <f t="shared" si="187"/>
        <v>0</v>
      </c>
      <c r="AD122" s="64">
        <f t="shared" si="183"/>
        <v>0</v>
      </c>
      <c r="AE122" s="1">
        <f t="shared" si="184"/>
        <v>12.134721278414293</v>
      </c>
    </row>
    <row r="123" spans="1:39" ht="13.5" customHeight="1">
      <c r="A123" s="1">
        <v>4</v>
      </c>
      <c r="B123" s="3">
        <f t="shared" si="158"/>
        <v>1000</v>
      </c>
      <c r="C123" s="1">
        <f t="shared" si="185"/>
        <v>2.5864620594753949E-2</v>
      </c>
      <c r="D123" s="1">
        <f t="shared" si="159"/>
        <v>0.83331252867085748</v>
      </c>
      <c r="E123" s="1">
        <f t="shared" si="160"/>
        <v>73.614573382066453</v>
      </c>
      <c r="F123" s="1">
        <f t="shared" si="186"/>
        <v>20</v>
      </c>
      <c r="G123" s="1">
        <f t="shared" si="161"/>
        <v>970.82559028055334</v>
      </c>
      <c r="H123" s="1">
        <f t="shared" si="162"/>
        <v>64.677695718619049</v>
      </c>
      <c r="I123" s="1">
        <f t="shared" si="163"/>
        <v>231.97711244281555</v>
      </c>
      <c r="J123" s="3">
        <f t="shared" si="164"/>
        <v>20</v>
      </c>
      <c r="K123" s="47">
        <f t="shared" si="165"/>
        <v>0.10494981209321917</v>
      </c>
      <c r="L123" s="3">
        <f t="shared" si="166"/>
        <v>3</v>
      </c>
      <c r="M123" s="47">
        <f t="shared" si="167"/>
        <v>0.3342350703605706</v>
      </c>
      <c r="N123" s="47">
        <f t="shared" si="168"/>
        <v>296.71690595876191</v>
      </c>
      <c r="O123" s="1">
        <f t="shared" si="169"/>
        <v>0.99530946808206089</v>
      </c>
      <c r="P123" s="1">
        <f t="shared" si="170"/>
        <v>8.9757187860735854</v>
      </c>
      <c r="Q123" s="1">
        <f t="shared" si="171"/>
        <v>73.86723938774594</v>
      </c>
      <c r="R123" s="1">
        <f t="shared" si="172"/>
        <v>73.614573382066453</v>
      </c>
      <c r="S123" s="47">
        <f t="shared" si="173"/>
        <v>111.3724492373079</v>
      </c>
      <c r="T123" s="1">
        <f t="shared" si="174"/>
        <v>63.927807070945555</v>
      </c>
      <c r="U123" s="47">
        <f t="shared" si="175"/>
        <v>63.721762289794214</v>
      </c>
      <c r="V123" s="47">
        <f t="shared" si="176"/>
        <v>90.822316471411398</v>
      </c>
      <c r="W123" s="2">
        <f t="shared" si="177"/>
        <v>970.83559028055333</v>
      </c>
      <c r="X123" s="1">
        <f t="shared" si="178"/>
        <v>93.112634141114214</v>
      </c>
      <c r="Y123" s="1">
        <f t="shared" si="179"/>
        <v>9.13540200599458</v>
      </c>
      <c r="Z123" s="2">
        <f t="shared" si="180"/>
        <v>4.2591212125368525</v>
      </c>
      <c r="AA123" s="3">
        <f t="shared" si="181"/>
        <v>1000</v>
      </c>
      <c r="AB123" s="1">
        <f t="shared" si="182"/>
        <v>3.004052386565137E-2</v>
      </c>
      <c r="AC123" s="1">
        <f t="shared" si="187"/>
        <v>0</v>
      </c>
      <c r="AD123" s="64">
        <f t="shared" si="183"/>
        <v>0</v>
      </c>
      <c r="AE123" s="1">
        <f t="shared" si="184"/>
        <v>12.134721278414293</v>
      </c>
    </row>
    <row r="124" spans="1:39" ht="13.5" customHeight="1">
      <c r="A124" s="1">
        <v>5</v>
      </c>
      <c r="B124" s="3">
        <f t="shared" si="158"/>
        <v>1000</v>
      </c>
      <c r="C124" s="1">
        <f t="shared" si="185"/>
        <v>2.569415464578164E-2</v>
      </c>
      <c r="D124" s="1">
        <f t="shared" si="159"/>
        <v>0.83203579459756583</v>
      </c>
      <c r="E124" s="1">
        <f t="shared" si="160"/>
        <v>73.86723938774594</v>
      </c>
      <c r="F124" s="1">
        <f t="shared" si="186"/>
        <v>20</v>
      </c>
      <c r="G124" s="1">
        <f t="shared" si="161"/>
        <v>976.39395738412122</v>
      </c>
      <c r="H124" s="1">
        <f t="shared" si="162"/>
        <v>64.819471326760493</v>
      </c>
      <c r="I124" s="1">
        <f t="shared" si="163"/>
        <v>233.51614726056204</v>
      </c>
      <c r="J124" s="3">
        <f t="shared" si="164"/>
        <v>22.360679774997898</v>
      </c>
      <c r="K124" s="47">
        <f t="shared" si="165"/>
        <v>0.13064396673900081</v>
      </c>
      <c r="L124" s="3">
        <f t="shared" si="166"/>
        <v>3</v>
      </c>
      <c r="M124" s="47">
        <f t="shared" si="167"/>
        <v>0.33285087067261343</v>
      </c>
      <c r="N124" s="47">
        <f t="shared" si="168"/>
        <v>255.56783147510416</v>
      </c>
      <c r="O124" s="1">
        <f t="shared" si="169"/>
        <v>0.99582656333816266</v>
      </c>
      <c r="P124" s="1">
        <f t="shared" si="170"/>
        <v>9.0130453735563449</v>
      </c>
      <c r="Q124" s="1">
        <f t="shared" si="171"/>
        <v>74.092993068165129</v>
      </c>
      <c r="R124" s="1">
        <f t="shared" si="172"/>
        <v>73.86723938774594</v>
      </c>
      <c r="S124" s="47">
        <f t="shared" si="173"/>
        <v>123.87209652674686</v>
      </c>
      <c r="T124" s="1">
        <f t="shared" si="174"/>
        <v>63.937652134965795</v>
      </c>
      <c r="U124" s="47">
        <f t="shared" si="175"/>
        <v>63.754281126710673</v>
      </c>
      <c r="V124" s="47">
        <f t="shared" si="176"/>
        <v>100.61652679419255</v>
      </c>
      <c r="W124" s="2">
        <f t="shared" si="177"/>
        <v>976.40395738412121</v>
      </c>
      <c r="X124" s="1">
        <f t="shared" si="178"/>
        <v>92.498956724813908</v>
      </c>
      <c r="Y124" s="1">
        <f t="shared" si="179"/>
        <v>9.7288358179121044</v>
      </c>
      <c r="Z124" s="2">
        <f t="shared" si="180"/>
        <v>4.199583030158708</v>
      </c>
      <c r="AA124" s="3">
        <f t="shared" si="181"/>
        <v>1000</v>
      </c>
      <c r="AB124" s="1">
        <f t="shared" si="182"/>
        <v>2.416627097568802E-2</v>
      </c>
      <c r="AC124" s="1">
        <f t="shared" si="187"/>
        <v>0</v>
      </c>
      <c r="AD124" s="64">
        <f t="shared" si="183"/>
        <v>0</v>
      </c>
      <c r="AE124" s="1">
        <f t="shared" si="184"/>
        <v>12.134721278414293</v>
      </c>
    </row>
    <row r="125" spans="1:39" ht="13.5" customHeight="1">
      <c r="A125" s="1">
        <v>6</v>
      </c>
      <c r="B125" s="3">
        <f t="shared" si="158"/>
        <v>1000</v>
      </c>
      <c r="C125" s="1">
        <f t="shared" si="185"/>
        <v>2.5543983112824235E-2</v>
      </c>
      <c r="D125" s="1">
        <f t="shared" si="159"/>
        <v>0.83089520109148673</v>
      </c>
      <c r="E125" s="1">
        <f t="shared" si="160"/>
        <v>74.092993068165129</v>
      </c>
      <c r="F125" s="1">
        <f t="shared" si="186"/>
        <v>20</v>
      </c>
      <c r="G125" s="1">
        <f t="shared" si="161"/>
        <v>981.37469089943079</v>
      </c>
      <c r="H125" s="1">
        <f t="shared" si="162"/>
        <v>64.945608353013455</v>
      </c>
      <c r="I125" s="1">
        <f t="shared" si="163"/>
        <v>234.88897457764637</v>
      </c>
      <c r="J125" s="3">
        <f t="shared" si="164"/>
        <v>24.494897427831781</v>
      </c>
      <c r="K125" s="47">
        <f t="shared" si="165"/>
        <v>0.15618794985182505</v>
      </c>
      <c r="L125" s="3">
        <f t="shared" si="166"/>
        <v>3</v>
      </c>
      <c r="M125" s="47">
        <f t="shared" si="167"/>
        <v>0.33160923535419334</v>
      </c>
      <c r="N125" s="47">
        <f t="shared" si="168"/>
        <v>226.07672854719783</v>
      </c>
      <c r="O125" s="1">
        <f t="shared" si="169"/>
        <v>0.99620256437611865</v>
      </c>
      <c r="P125" s="1">
        <f t="shared" si="170"/>
        <v>9.0467926708847131</v>
      </c>
      <c r="Q125" s="1">
        <f t="shared" si="171"/>
        <v>74.299190749465083</v>
      </c>
      <c r="R125" s="1">
        <f t="shared" si="172"/>
        <v>74.092993068165129</v>
      </c>
      <c r="S125" s="47">
        <f t="shared" si="173"/>
        <v>135.26349104704292</v>
      </c>
      <c r="T125" s="1">
        <f t="shared" si="174"/>
        <v>63.949118453017824</v>
      </c>
      <c r="U125" s="47">
        <f t="shared" si="175"/>
        <v>63.782224504966152</v>
      </c>
      <c r="V125" s="47">
        <f t="shared" si="176"/>
        <v>109.48065907324353</v>
      </c>
      <c r="W125" s="2">
        <f t="shared" si="177"/>
        <v>981.38469089943078</v>
      </c>
      <c r="X125" s="1">
        <f t="shared" si="178"/>
        <v>91.958339206167253</v>
      </c>
      <c r="Y125" s="1">
        <f t="shared" si="179"/>
        <v>10.239971480862312</v>
      </c>
      <c r="Z125" s="2">
        <f t="shared" si="180"/>
        <v>4.1503902842950335</v>
      </c>
      <c r="AA125" s="3">
        <f t="shared" si="181"/>
        <v>1000</v>
      </c>
      <c r="AB125" s="1">
        <f t="shared" si="182"/>
        <v>1.8968411952206443E-2</v>
      </c>
      <c r="AC125" s="1">
        <f t="shared" si="187"/>
        <v>0</v>
      </c>
      <c r="AD125" s="64">
        <f t="shared" si="183"/>
        <v>0</v>
      </c>
      <c r="AE125" s="1">
        <f t="shared" si="184"/>
        <v>12.134721278414293</v>
      </c>
    </row>
    <row r="126" spans="1:39" ht="13.5" customHeight="1">
      <c r="A126" s="1">
        <v>7</v>
      </c>
      <c r="B126" s="3">
        <f t="shared" si="158"/>
        <v>1000</v>
      </c>
      <c r="C126" s="1">
        <f t="shared" si="185"/>
        <v>2.5408550753390831E-2</v>
      </c>
      <c r="D126" s="1">
        <f t="shared" si="159"/>
        <v>0.82985356101834906</v>
      </c>
      <c r="E126" s="1">
        <f t="shared" si="160"/>
        <v>74.299190749465083</v>
      </c>
      <c r="F126" s="1">
        <f t="shared" si="186"/>
        <v>20</v>
      </c>
      <c r="G126" s="1">
        <f t="shared" si="161"/>
        <v>985.92846675996771</v>
      </c>
      <c r="H126" s="1">
        <f t="shared" si="162"/>
        <v>65.06037680385819</v>
      </c>
      <c r="I126" s="1">
        <f t="shared" si="163"/>
        <v>236.14097703700341</v>
      </c>
      <c r="J126" s="3">
        <f t="shared" si="164"/>
        <v>26.457513110645905</v>
      </c>
      <c r="K126" s="47">
        <f t="shared" si="165"/>
        <v>0.18159650060521587</v>
      </c>
      <c r="L126" s="3">
        <f t="shared" si="166"/>
        <v>3</v>
      </c>
      <c r="M126" s="47">
        <f t="shared" si="167"/>
        <v>0.33047588827154845</v>
      </c>
      <c r="N126" s="47">
        <f t="shared" si="168"/>
        <v>203.71534041361502</v>
      </c>
      <c r="O126" s="1">
        <f t="shared" si="169"/>
        <v>0.99649144658397615</v>
      </c>
      <c r="P126" s="1">
        <f t="shared" si="170"/>
        <v>9.0778180995005986</v>
      </c>
      <c r="Q126" s="1">
        <f t="shared" si="171"/>
        <v>74.490373134265724</v>
      </c>
      <c r="R126" s="1">
        <f t="shared" si="172"/>
        <v>74.299190749465083</v>
      </c>
      <c r="S126" s="47">
        <f t="shared" si="173"/>
        <v>145.81581864005713</v>
      </c>
      <c r="T126" s="1">
        <f t="shared" si="174"/>
        <v>63.96106053676592</v>
      </c>
      <c r="U126" s="47">
        <f t="shared" si="175"/>
        <v>63.806820807647618</v>
      </c>
      <c r="V126" s="47">
        <f t="shared" si="176"/>
        <v>117.63945926115582</v>
      </c>
      <c r="W126" s="2">
        <f t="shared" si="177"/>
        <v>985.9384667599677</v>
      </c>
      <c r="X126" s="1">
        <f t="shared" si="178"/>
        <v>91.470782712206997</v>
      </c>
      <c r="Y126" s="1">
        <f t="shared" si="179"/>
        <v>10.692124937956708</v>
      </c>
      <c r="Z126" s="2">
        <f t="shared" si="180"/>
        <v>4.1083013784795277</v>
      </c>
      <c r="AA126" s="3">
        <f t="shared" si="181"/>
        <v>1000</v>
      </c>
      <c r="AB126" s="1">
        <f t="shared" si="182"/>
        <v>1.426207995133999E-2</v>
      </c>
      <c r="AC126" s="1">
        <f t="shared" si="187"/>
        <v>0</v>
      </c>
      <c r="AD126" s="64">
        <f t="shared" si="183"/>
        <v>0</v>
      </c>
      <c r="AE126" s="1">
        <f t="shared" si="184"/>
        <v>12.134721278414293</v>
      </c>
      <c r="AM126" s="1" t="s">
        <v>139</v>
      </c>
    </row>
    <row r="127" spans="1:39" ht="13.5" customHeight="1">
      <c r="A127" s="1">
        <v>8</v>
      </c>
      <c r="B127" s="3">
        <f t="shared" si="158"/>
        <v>1000</v>
      </c>
      <c r="C127" s="1">
        <f t="shared" si="185"/>
        <v>2.5284431371196792E-2</v>
      </c>
      <c r="D127" s="1">
        <f t="shared" si="159"/>
        <v>0.82888791387020588</v>
      </c>
      <c r="E127" s="1">
        <f t="shared" si="160"/>
        <v>74.490373134265724</v>
      </c>
      <c r="F127" s="1">
        <f t="shared" si="186"/>
        <v>20</v>
      </c>
      <c r="G127" s="1">
        <f t="shared" si="161"/>
        <v>990.15446315871543</v>
      </c>
      <c r="H127" s="1">
        <f t="shared" si="162"/>
        <v>65.166411713270634</v>
      </c>
      <c r="I127" s="1">
        <f t="shared" si="163"/>
        <v>237.300175428703</v>
      </c>
      <c r="J127" s="3">
        <f t="shared" si="164"/>
        <v>28.284271247461902</v>
      </c>
      <c r="K127" s="47">
        <f t="shared" si="165"/>
        <v>0.20688093197641266</v>
      </c>
      <c r="L127" s="3">
        <f t="shared" si="166"/>
        <v>3</v>
      </c>
      <c r="M127" s="47">
        <f t="shared" si="167"/>
        <v>0.3294282356312303</v>
      </c>
      <c r="N127" s="47">
        <f t="shared" si="168"/>
        <v>186.06956996977533</v>
      </c>
      <c r="O127" s="1">
        <f t="shared" si="169"/>
        <v>0.99672217674945274</v>
      </c>
      <c r="P127" s="1">
        <f t="shared" si="170"/>
        <v>9.1066875134476035</v>
      </c>
      <c r="Q127" s="1">
        <f t="shared" si="171"/>
        <v>74.669570322967772</v>
      </c>
      <c r="R127" s="1">
        <f t="shared" si="172"/>
        <v>74.490373134265724</v>
      </c>
      <c r="S127" s="47">
        <f t="shared" si="173"/>
        <v>155.70442190618147</v>
      </c>
      <c r="T127" s="1">
        <f t="shared" si="174"/>
        <v>63.972986353296101</v>
      </c>
      <c r="U127" s="47">
        <f t="shared" si="175"/>
        <v>63.828850676231269</v>
      </c>
      <c r="V127" s="47">
        <f t="shared" si="176"/>
        <v>125.23947744933902</v>
      </c>
      <c r="W127" s="2">
        <f t="shared" si="177"/>
        <v>990.16446315871542</v>
      </c>
      <c r="X127" s="1">
        <f t="shared" si="178"/>
        <v>91.023952936308447</v>
      </c>
      <c r="Y127" s="1">
        <f t="shared" si="179"/>
        <v>11.099555618783938</v>
      </c>
      <c r="Z127" s="2">
        <f t="shared" si="180"/>
        <v>4.0714104256033945</v>
      </c>
      <c r="AA127" s="3">
        <f t="shared" si="181"/>
        <v>1000</v>
      </c>
      <c r="AB127" s="1">
        <f t="shared" si="182"/>
        <v>9.9332355454448962E-3</v>
      </c>
      <c r="AC127" s="1">
        <f t="shared" si="187"/>
        <v>0</v>
      </c>
      <c r="AD127" s="64">
        <f t="shared" si="183"/>
        <v>0</v>
      </c>
      <c r="AE127" s="1">
        <f t="shared" si="184"/>
        <v>12.134721278414293</v>
      </c>
      <c r="AM127" s="1" t="s">
        <v>140</v>
      </c>
    </row>
    <row r="128" spans="1:39" ht="13.5" customHeight="1">
      <c r="A128" s="1">
        <v>9</v>
      </c>
      <c r="B128" s="3">
        <f t="shared" si="158"/>
        <v>1000</v>
      </c>
      <c r="C128" s="1">
        <f t="shared" si="185"/>
        <v>2.5169340094503913E-2</v>
      </c>
      <c r="D128" s="1">
        <f t="shared" si="159"/>
        <v>0.82798293449549798</v>
      </c>
      <c r="E128" s="1">
        <f t="shared" si="160"/>
        <v>74.669570322967772</v>
      </c>
      <c r="F128" s="1">
        <f t="shared" si="186"/>
        <v>20</v>
      </c>
      <c r="G128" s="1">
        <f t="shared" si="161"/>
        <v>994.11886353006139</v>
      </c>
      <c r="H128" s="1">
        <f t="shared" si="162"/>
        <v>65.265471263618849</v>
      </c>
      <c r="I128" s="1">
        <f t="shared" si="163"/>
        <v>238.38527261627277</v>
      </c>
      <c r="J128" s="3">
        <f t="shared" si="164"/>
        <v>30</v>
      </c>
      <c r="K128" s="47">
        <f t="shared" si="165"/>
        <v>0.23205027207091658</v>
      </c>
      <c r="L128" s="3">
        <f t="shared" si="166"/>
        <v>3</v>
      </c>
      <c r="M128" s="47">
        <f t="shared" si="167"/>
        <v>0.32845049125395126</v>
      </c>
      <c r="N128" s="47">
        <f t="shared" si="168"/>
        <v>171.72405967740667</v>
      </c>
      <c r="O128" s="1">
        <f t="shared" si="169"/>
        <v>0.99691185231459289</v>
      </c>
      <c r="P128" s="1">
        <f t="shared" si="170"/>
        <v>9.1337966600283167</v>
      </c>
      <c r="Q128" s="1">
        <f t="shared" si="171"/>
        <v>74.838921009954888</v>
      </c>
      <c r="R128" s="1">
        <f t="shared" si="172"/>
        <v>74.669570322967772</v>
      </c>
      <c r="S128" s="47">
        <f t="shared" si="173"/>
        <v>165.05106656117826</v>
      </c>
      <c r="T128" s="1">
        <f t="shared" si="174"/>
        <v>63.984673773649021</v>
      </c>
      <c r="U128" s="47">
        <f t="shared" si="175"/>
        <v>63.848842605141542</v>
      </c>
      <c r="V128" s="47">
        <f t="shared" si="176"/>
        <v>132.38257035306006</v>
      </c>
      <c r="W128" s="2">
        <f t="shared" si="177"/>
        <v>994.12886353006138</v>
      </c>
      <c r="X128" s="1">
        <f t="shared" si="178"/>
        <v>90.609624340214083</v>
      </c>
      <c r="Y128" s="1">
        <f t="shared" si="179"/>
        <v>11.471694758723489</v>
      </c>
      <c r="Z128" s="2">
        <f t="shared" si="180"/>
        <v>4.0384979386775868</v>
      </c>
      <c r="AA128" s="3">
        <f t="shared" si="181"/>
        <v>1000</v>
      </c>
      <c r="AB128" s="1">
        <f t="shared" si="182"/>
        <v>5.9058102881055508E-3</v>
      </c>
      <c r="AC128" s="1">
        <f t="shared" si="187"/>
        <v>0</v>
      </c>
      <c r="AD128" s="64">
        <f t="shared" si="183"/>
        <v>0</v>
      </c>
      <c r="AE128" s="1">
        <f t="shared" si="184"/>
        <v>12.134721278414293</v>
      </c>
      <c r="AM128" s="1" t="s">
        <v>138</v>
      </c>
    </row>
    <row r="129" spans="1:78" ht="13.5" customHeight="1">
      <c r="A129" s="1">
        <v>10</v>
      </c>
      <c r="B129" s="3">
        <f t="shared" si="158"/>
        <v>1000</v>
      </c>
      <c r="C129" s="1">
        <f t="shared" si="185"/>
        <v>2.5061665103538567E-2</v>
      </c>
      <c r="D129" s="1">
        <f t="shared" si="159"/>
        <v>0.82712780449749457</v>
      </c>
      <c r="E129" s="1">
        <f t="shared" si="160"/>
        <v>74.838921009954888</v>
      </c>
      <c r="F129" s="1">
        <f t="shared" si="186"/>
        <v>20</v>
      </c>
      <c r="G129" s="1">
        <f t="shared" si="161"/>
        <v>997.86838082006807</v>
      </c>
      <c r="H129" s="1">
        <f t="shared" si="162"/>
        <v>65.358796335975512</v>
      </c>
      <c r="I129" s="1">
        <f t="shared" si="163"/>
        <v>239.40947160581257</v>
      </c>
      <c r="J129" s="3">
        <f t="shared" si="164"/>
        <v>31.622776601683793</v>
      </c>
      <c r="K129" s="47">
        <f t="shared" si="165"/>
        <v>0.25711193717445513</v>
      </c>
      <c r="L129" s="3">
        <f t="shared" si="166"/>
        <v>3</v>
      </c>
      <c r="M129" s="47">
        <f t="shared" si="167"/>
        <v>0.32753113015854157</v>
      </c>
      <c r="N129" s="47">
        <f t="shared" si="168"/>
        <v>159.7892001679958</v>
      </c>
      <c r="O129" s="1">
        <f t="shared" si="169"/>
        <v>0.99707129109008885</v>
      </c>
      <c r="P129" s="1">
        <f t="shared" si="170"/>
        <v>9.1594347033451413</v>
      </c>
      <c r="Q129" s="1">
        <f t="shared" si="171"/>
        <v>75</v>
      </c>
      <c r="R129" s="1">
        <f t="shared" si="172"/>
        <v>74.838921009954888</v>
      </c>
      <c r="S129" s="47">
        <f t="shared" si="173"/>
        <v>173.94439090813603</v>
      </c>
      <c r="T129" s="1">
        <f t="shared" si="174"/>
        <v>63.996023460063597</v>
      </c>
      <c r="U129" s="47">
        <f t="shared" si="175"/>
        <v>63.867171914155449</v>
      </c>
      <c r="V129" s="47">
        <f t="shared" si="176"/>
        <v>139.1429364207423</v>
      </c>
      <c r="W129" s="2">
        <f t="shared" si="177"/>
        <v>997.87838082006806</v>
      </c>
      <c r="X129" s="1">
        <f t="shared" si="178"/>
        <v>90.221994372738834</v>
      </c>
      <c r="Y129" s="1">
        <f t="shared" si="179"/>
        <v>11.815142878078301</v>
      </c>
      <c r="Z129" s="2">
        <f t="shared" si="180"/>
        <v>4.008734562779658</v>
      </c>
      <c r="AA129" s="3">
        <f t="shared" si="181"/>
        <v>1000</v>
      </c>
      <c r="AB129" s="1">
        <f t="shared" si="182"/>
        <v>2.1261300181574239E-3</v>
      </c>
      <c r="AC129" s="1">
        <f t="shared" si="187"/>
        <v>0</v>
      </c>
      <c r="AD129" s="64">
        <f t="shared" si="183"/>
        <v>0</v>
      </c>
      <c r="AE129" s="1">
        <f t="shared" si="184"/>
        <v>12.134721278414293</v>
      </c>
      <c r="AM129" s="1" t="s">
        <v>137</v>
      </c>
    </row>
    <row r="130" spans="1:78" ht="13.5" customHeight="1">
      <c r="K130" s="47"/>
      <c r="L130" s="47"/>
      <c r="M130" s="47"/>
      <c r="N130" s="47">
        <f>SUM(N120:N129)</f>
        <v>3067.3606392071465</v>
      </c>
      <c r="O130" s="2" t="s">
        <v>46</v>
      </c>
      <c r="P130" s="2"/>
      <c r="Q130" s="2"/>
      <c r="R130" s="49">
        <f>R110</f>
        <v>75</v>
      </c>
      <c r="S130" s="50" t="s">
        <v>45</v>
      </c>
      <c r="T130" s="2"/>
      <c r="U130" s="11">
        <f>U129</f>
        <v>63.867171914155449</v>
      </c>
      <c r="V130" s="47"/>
      <c r="W130" s="2"/>
      <c r="Y130" s="1">
        <f>N131</f>
        <v>12.134721278414293</v>
      </c>
      <c r="AE130" s="1">
        <f t="shared" si="184"/>
        <v>12.134721278414293</v>
      </c>
      <c r="AM130" s="1" t="s">
        <v>136</v>
      </c>
    </row>
    <row r="131" spans="1:78" ht="13.5" customHeight="1">
      <c r="K131" s="47"/>
      <c r="L131" s="2" t="s">
        <v>44</v>
      </c>
      <c r="M131" s="2"/>
      <c r="N131" s="47">
        <f>N130*2/1000+Y131</f>
        <v>12.134721278414293</v>
      </c>
      <c r="O131" s="2" t="s">
        <v>1</v>
      </c>
      <c r="P131" s="1">
        <f>SUM(P120:P129)</f>
        <v>90.150257323983226</v>
      </c>
      <c r="Q131" s="1" t="s">
        <v>43</v>
      </c>
      <c r="S131" s="47"/>
      <c r="U131" s="47"/>
      <c r="V131" s="47"/>
      <c r="W131" s="2"/>
      <c r="Y131" s="3">
        <f>Y111</f>
        <v>6</v>
      </c>
      <c r="Z131" s="3" t="s">
        <v>42</v>
      </c>
      <c r="AE131" s="1">
        <f>N131</f>
        <v>12.134721278414293</v>
      </c>
      <c r="AM131" s="1" t="s">
        <v>135</v>
      </c>
      <c r="AT131" s="1" t="s">
        <v>126</v>
      </c>
      <c r="AY131" s="1" t="s">
        <v>127</v>
      </c>
      <c r="BE131" s="1" t="s">
        <v>128</v>
      </c>
      <c r="BI131" s="2">
        <v>30</v>
      </c>
      <c r="BJ131" s="2">
        <v>1</v>
      </c>
      <c r="BL131" s="1" t="s">
        <v>126</v>
      </c>
      <c r="BQ131" s="1" t="s">
        <v>127</v>
      </c>
      <c r="BW131" s="1" t="s">
        <v>128</v>
      </c>
    </row>
    <row r="132" spans="1:78" ht="13.5" customHeight="1">
      <c r="L132" s="60" t="s">
        <v>41</v>
      </c>
      <c r="N132" s="3">
        <f>N112</f>
        <v>15</v>
      </c>
      <c r="O132" s="1" t="s">
        <v>1</v>
      </c>
      <c r="AN132" s="1" t="s">
        <v>129</v>
      </c>
      <c r="AO132" s="1" t="s">
        <v>130</v>
      </c>
      <c r="AR132" s="1">
        <v>300</v>
      </c>
      <c r="AS132" s="1">
        <v>400</v>
      </c>
      <c r="AT132" s="1">
        <v>500</v>
      </c>
      <c r="AU132" s="1">
        <v>600</v>
      </c>
      <c r="AV132" s="1">
        <v>900</v>
      </c>
      <c r="AW132" s="1">
        <v>200</v>
      </c>
      <c r="AX132" s="1">
        <v>300</v>
      </c>
      <c r="AY132" s="1">
        <v>400</v>
      </c>
      <c r="AZ132" s="1">
        <v>500</v>
      </c>
      <c r="BA132" s="1">
        <v>600</v>
      </c>
      <c r="BB132" s="1">
        <v>900</v>
      </c>
      <c r="BC132" s="1">
        <v>200</v>
      </c>
      <c r="BD132" s="1">
        <v>300</v>
      </c>
      <c r="BE132" s="1">
        <v>400</v>
      </c>
      <c r="BF132" s="1">
        <v>500</v>
      </c>
      <c r="BG132" s="1">
        <v>600</v>
      </c>
      <c r="BH132" s="1">
        <v>900</v>
      </c>
      <c r="BJ132" s="1">
        <v>300</v>
      </c>
      <c r="BK132" s="1">
        <v>400</v>
      </c>
      <c r="BL132" s="1">
        <v>500</v>
      </c>
      <c r="BM132" s="1">
        <v>600</v>
      </c>
      <c r="BN132" s="1">
        <v>900</v>
      </c>
      <c r="BO132" s="1">
        <v>200</v>
      </c>
      <c r="BP132" s="1">
        <v>300</v>
      </c>
      <c r="BQ132" s="1">
        <v>400</v>
      </c>
      <c r="BR132" s="1">
        <v>500</v>
      </c>
      <c r="BS132" s="1">
        <v>600</v>
      </c>
      <c r="BT132" s="1">
        <v>900</v>
      </c>
      <c r="BU132" s="1">
        <v>200</v>
      </c>
      <c r="BV132" s="1">
        <v>300</v>
      </c>
      <c r="BW132" s="1">
        <v>400</v>
      </c>
      <c r="BX132" s="1">
        <v>500</v>
      </c>
      <c r="BY132" s="1">
        <v>600</v>
      </c>
      <c r="BZ132" s="1">
        <v>900</v>
      </c>
    </row>
    <row r="133" spans="1:78" ht="13.5" customHeight="1">
      <c r="AM133" s="1">
        <v>800</v>
      </c>
    </row>
    <row r="134" spans="1:78" ht="13.5" customHeight="1">
      <c r="AM134" s="1" t="s">
        <v>131</v>
      </c>
      <c r="AN134" s="1">
        <f>AM133</f>
        <v>800</v>
      </c>
      <c r="AO134" s="1">
        <v>90</v>
      </c>
      <c r="AP134" s="1">
        <v>70</v>
      </c>
      <c r="AQ134" s="1">
        <f>AO134/2+AP134/2</f>
        <v>80</v>
      </c>
      <c r="AR134" s="1">
        <v>758</v>
      </c>
      <c r="AS134" s="1">
        <v>954</v>
      </c>
      <c r="AT134" s="1">
        <v>1138</v>
      </c>
      <c r="AU134" s="1">
        <v>1314</v>
      </c>
      <c r="AV134" s="1">
        <v>1797</v>
      </c>
      <c r="AW134" s="1">
        <v>648</v>
      </c>
      <c r="AX134" s="1">
        <v>985</v>
      </c>
      <c r="AY134" s="1">
        <v>1240</v>
      </c>
      <c r="AZ134" s="1">
        <v>1481</v>
      </c>
      <c r="BA134" s="1">
        <v>1713</v>
      </c>
      <c r="BB134" s="1">
        <v>2370</v>
      </c>
      <c r="BC134" s="1">
        <v>934</v>
      </c>
      <c r="BD134" s="1">
        <v>1398</v>
      </c>
      <c r="BE134" s="1">
        <v>1766</v>
      </c>
      <c r="BF134" s="1">
        <v>2119</v>
      </c>
      <c r="BG134" s="1">
        <v>2459</v>
      </c>
      <c r="BH134" s="1">
        <v>3413</v>
      </c>
      <c r="BJ134" s="1">
        <f t="shared" ref="BJ134:BS137" si="188">$BJ$131*AR134/($AQ134-$BI$131)/AR$132/$AN134*1000000</f>
        <v>63.166666666666664</v>
      </c>
      <c r="BK134" s="1">
        <f t="shared" si="188"/>
        <v>59.624999999999993</v>
      </c>
      <c r="BL134" s="1">
        <f t="shared" si="188"/>
        <v>56.900000000000006</v>
      </c>
      <c r="BM134" s="1">
        <f t="shared" si="188"/>
        <v>54.749999999999993</v>
      </c>
      <c r="BN134" s="1">
        <f t="shared" si="188"/>
        <v>49.916666666666664</v>
      </c>
      <c r="BO134" s="1">
        <f t="shared" si="188"/>
        <v>81.000000000000014</v>
      </c>
      <c r="BP134" s="1">
        <f t="shared" si="188"/>
        <v>82.083333333333329</v>
      </c>
      <c r="BQ134" s="1">
        <f t="shared" si="188"/>
        <v>77.5</v>
      </c>
      <c r="BR134" s="1">
        <f t="shared" si="188"/>
        <v>74.05</v>
      </c>
      <c r="BS134" s="1">
        <f t="shared" si="188"/>
        <v>71.375</v>
      </c>
      <c r="BT134" s="1">
        <f t="shared" ref="BT134:BZ137" si="189">$BJ$131*BB134/($AQ134-$BI$131)/BB$132/$AN134*1000000</f>
        <v>65.833333333333343</v>
      </c>
      <c r="BU134" s="1">
        <f t="shared" si="189"/>
        <v>116.74999999999999</v>
      </c>
      <c r="BV134" s="1">
        <f t="shared" si="189"/>
        <v>116.50000000000001</v>
      </c>
      <c r="BW134" s="1">
        <f t="shared" si="189"/>
        <v>110.375</v>
      </c>
      <c r="BX134" s="1">
        <f t="shared" si="189"/>
        <v>105.95</v>
      </c>
      <c r="BY134" s="1">
        <f t="shared" si="189"/>
        <v>102.45833333333331</v>
      </c>
      <c r="BZ134" s="1">
        <f t="shared" si="189"/>
        <v>94.805555555555557</v>
      </c>
    </row>
    <row r="135" spans="1:78" ht="13.5" customHeight="1" thickBot="1">
      <c r="AM135" s="1" t="s">
        <v>132</v>
      </c>
      <c r="AN135" s="1">
        <f>AN134</f>
        <v>800</v>
      </c>
      <c r="AO135" s="1">
        <v>75</v>
      </c>
      <c r="AP135" s="1">
        <v>65</v>
      </c>
      <c r="AQ135" s="1">
        <f>AO135/2+AP135/2</f>
        <v>70</v>
      </c>
      <c r="AR135" s="1">
        <v>596</v>
      </c>
      <c r="AS135" s="1">
        <v>750</v>
      </c>
      <c r="AT135" s="1">
        <v>894</v>
      </c>
      <c r="AU135" s="1">
        <v>1030</v>
      </c>
      <c r="AV135" s="1">
        <v>1403</v>
      </c>
      <c r="AW135" s="1">
        <v>519</v>
      </c>
      <c r="AX135" s="1">
        <v>773</v>
      </c>
      <c r="AY135" s="1">
        <v>973</v>
      </c>
      <c r="AZ135" s="1">
        <v>1162</v>
      </c>
      <c r="BA135" s="1">
        <v>1343</v>
      </c>
      <c r="BB135" s="1">
        <v>1850</v>
      </c>
      <c r="BC135" s="1">
        <v>747</v>
      </c>
      <c r="BD135" s="1">
        <v>1103</v>
      </c>
      <c r="BE135" s="1">
        <v>1390</v>
      </c>
      <c r="BF135" s="1">
        <v>1663</v>
      </c>
      <c r="BG135" s="1">
        <v>1925</v>
      </c>
      <c r="BH135" s="1">
        <v>2662</v>
      </c>
      <c r="BJ135" s="1">
        <f t="shared" si="188"/>
        <v>62.083333333333329</v>
      </c>
      <c r="BK135" s="1">
        <f t="shared" si="188"/>
        <v>58.59375</v>
      </c>
      <c r="BL135" s="1">
        <f t="shared" si="188"/>
        <v>55.875</v>
      </c>
      <c r="BM135" s="1">
        <f t="shared" si="188"/>
        <v>53.645833333333336</v>
      </c>
      <c r="BN135" s="1">
        <f t="shared" si="188"/>
        <v>48.715277777777786</v>
      </c>
      <c r="BO135" s="1">
        <f t="shared" si="188"/>
        <v>81.09375</v>
      </c>
      <c r="BP135" s="1">
        <f t="shared" si="188"/>
        <v>80.520833333333329</v>
      </c>
      <c r="BQ135" s="1">
        <f t="shared" si="188"/>
        <v>76.015624999999986</v>
      </c>
      <c r="BR135" s="1">
        <f t="shared" si="188"/>
        <v>72.625</v>
      </c>
      <c r="BS135" s="1">
        <f t="shared" si="188"/>
        <v>69.947916666666671</v>
      </c>
      <c r="BT135" s="1">
        <f t="shared" si="189"/>
        <v>64.2361111111111</v>
      </c>
      <c r="BU135" s="1">
        <f t="shared" si="189"/>
        <v>116.71875</v>
      </c>
      <c r="BV135" s="1">
        <f t="shared" si="189"/>
        <v>114.89583333333333</v>
      </c>
      <c r="BW135" s="1">
        <f t="shared" si="189"/>
        <v>108.59375</v>
      </c>
      <c r="BX135" s="1">
        <f t="shared" si="189"/>
        <v>103.9375</v>
      </c>
      <c r="BY135" s="1">
        <f t="shared" si="189"/>
        <v>100.26041666666667</v>
      </c>
      <c r="BZ135" s="1">
        <f t="shared" si="189"/>
        <v>92.430555555555543</v>
      </c>
    </row>
    <row r="136" spans="1:78" ht="13.5" customHeight="1">
      <c r="B136" s="14" t="s">
        <v>40</v>
      </c>
      <c r="C136" s="15"/>
      <c r="D136" s="15"/>
      <c r="E136" s="15"/>
      <c r="F136" s="15"/>
      <c r="G136" s="15"/>
      <c r="H136" s="15" t="s">
        <v>39</v>
      </c>
      <c r="I136" s="16"/>
      <c r="J136" s="14" t="s">
        <v>38</v>
      </c>
      <c r="K136" s="15"/>
      <c r="L136" s="15"/>
      <c r="M136" s="15"/>
      <c r="N136" s="15" t="s">
        <v>37</v>
      </c>
      <c r="O136" s="15"/>
      <c r="P136" s="15"/>
      <c r="Q136" s="15"/>
      <c r="R136" s="15"/>
      <c r="S136" s="16"/>
      <c r="T136" s="14" t="s">
        <v>36</v>
      </c>
      <c r="U136" s="15"/>
      <c r="V136" s="16"/>
      <c r="W136" s="14"/>
      <c r="X136" s="15"/>
      <c r="Y136" s="15"/>
      <c r="Z136" s="16"/>
      <c r="AM136" s="1" t="s">
        <v>133</v>
      </c>
      <c r="AN136" s="1">
        <f>AN135</f>
        <v>800</v>
      </c>
      <c r="AO136" s="1">
        <v>70</v>
      </c>
      <c r="AP136" s="1">
        <v>55</v>
      </c>
      <c r="AQ136" s="1">
        <f>AO136/2+AP136/2</f>
        <v>62.5</v>
      </c>
      <c r="AR136" s="1">
        <v>481</v>
      </c>
      <c r="AS136" s="1">
        <v>604</v>
      </c>
      <c r="AT136" s="1">
        <v>720</v>
      </c>
      <c r="AU136" s="1">
        <v>830</v>
      </c>
      <c r="AV136" s="1">
        <v>1125</v>
      </c>
      <c r="AW136" s="1">
        <v>420</v>
      </c>
      <c r="AX136" s="1">
        <v>623</v>
      </c>
      <c r="AY136" s="1">
        <v>783</v>
      </c>
      <c r="AZ136" s="1">
        <v>935</v>
      </c>
      <c r="BA136" s="1">
        <v>1081</v>
      </c>
      <c r="BB136" s="1">
        <v>1484</v>
      </c>
      <c r="BC136" s="1">
        <v>603</v>
      </c>
      <c r="BD136" s="1">
        <v>893</v>
      </c>
      <c r="BE136" s="1">
        <v>1123</v>
      </c>
      <c r="BF136" s="1">
        <v>1340</v>
      </c>
      <c r="BG136" s="1">
        <v>1547</v>
      </c>
      <c r="BH136" s="1">
        <v>2134</v>
      </c>
      <c r="BJ136" s="1">
        <f t="shared" si="188"/>
        <v>61.666666666666671</v>
      </c>
      <c r="BK136" s="1">
        <f t="shared" si="188"/>
        <v>58.07692307692308</v>
      </c>
      <c r="BL136" s="1">
        <f t="shared" si="188"/>
        <v>55.38461538461538</v>
      </c>
      <c r="BM136" s="1">
        <f t="shared" si="188"/>
        <v>53.205128205128212</v>
      </c>
      <c r="BN136" s="1">
        <f t="shared" si="188"/>
        <v>48.076923076923073</v>
      </c>
      <c r="BO136" s="1">
        <f t="shared" si="188"/>
        <v>80.769230769230774</v>
      </c>
      <c r="BP136" s="1">
        <f t="shared" si="188"/>
        <v>79.871794871794876</v>
      </c>
      <c r="BQ136" s="1">
        <f t="shared" si="188"/>
        <v>75.288461538461533</v>
      </c>
      <c r="BR136" s="1">
        <f t="shared" si="188"/>
        <v>71.92307692307692</v>
      </c>
      <c r="BS136" s="1">
        <f t="shared" si="188"/>
        <v>69.294871794871796</v>
      </c>
      <c r="BT136" s="1">
        <f t="shared" si="189"/>
        <v>63.418803418803421</v>
      </c>
      <c r="BU136" s="1">
        <f t="shared" si="189"/>
        <v>115.96153846153847</v>
      </c>
      <c r="BV136" s="1">
        <f t="shared" si="189"/>
        <v>114.48717948717949</v>
      </c>
      <c r="BW136" s="1">
        <f t="shared" si="189"/>
        <v>107.98076923076923</v>
      </c>
      <c r="BX136" s="1">
        <f t="shared" si="189"/>
        <v>103.07692307692307</v>
      </c>
      <c r="BY136" s="1">
        <f t="shared" si="189"/>
        <v>99.166666666666671</v>
      </c>
      <c r="BZ136" s="1">
        <f t="shared" si="189"/>
        <v>91.196581196581192</v>
      </c>
    </row>
    <row r="137" spans="1:78" ht="13.5" customHeight="1">
      <c r="B137" s="17" t="s">
        <v>35</v>
      </c>
      <c r="C137" s="18" t="s">
        <v>22</v>
      </c>
      <c r="D137" s="18"/>
      <c r="E137" s="18" t="s">
        <v>34</v>
      </c>
      <c r="F137" s="18" t="s">
        <v>33</v>
      </c>
      <c r="G137" s="18" t="s">
        <v>7</v>
      </c>
      <c r="H137" s="18" t="s">
        <v>32</v>
      </c>
      <c r="I137" s="19" t="s">
        <v>22</v>
      </c>
      <c r="J137" s="17" t="s">
        <v>31</v>
      </c>
      <c r="K137" s="18"/>
      <c r="L137" s="18" t="s">
        <v>30</v>
      </c>
      <c r="M137" s="18"/>
      <c r="N137" s="18" t="s">
        <v>29</v>
      </c>
      <c r="O137" s="18"/>
      <c r="P137" s="18" t="s">
        <v>28</v>
      </c>
      <c r="Q137" s="20" t="s">
        <v>27</v>
      </c>
      <c r="R137" s="21" t="s">
        <v>26</v>
      </c>
      <c r="S137" s="22" t="s">
        <v>7</v>
      </c>
      <c r="T137" s="23" t="s">
        <v>25</v>
      </c>
      <c r="U137" s="24" t="s">
        <v>24</v>
      </c>
      <c r="V137" s="25" t="s">
        <v>7</v>
      </c>
      <c r="W137" s="26" t="s">
        <v>23</v>
      </c>
      <c r="X137" s="4" t="s">
        <v>22</v>
      </c>
      <c r="Y137" s="4" t="s">
        <v>21</v>
      </c>
      <c r="Z137" s="5" t="s">
        <v>20</v>
      </c>
      <c r="AM137" s="1" t="s">
        <v>134</v>
      </c>
      <c r="AN137" s="1">
        <f>AN136</f>
        <v>800</v>
      </c>
      <c r="AO137" s="1">
        <v>55</v>
      </c>
      <c r="AP137" s="1">
        <v>45</v>
      </c>
      <c r="AQ137" s="1">
        <f>AO137/2+AP137/2</f>
        <v>50</v>
      </c>
      <c r="AR137" s="1">
        <v>304</v>
      </c>
      <c r="AS137" s="1">
        <v>381</v>
      </c>
      <c r="AT137" s="1">
        <v>453</v>
      </c>
      <c r="AU137" s="1">
        <v>522</v>
      </c>
      <c r="AV137" s="1">
        <v>701</v>
      </c>
      <c r="AW137" s="1">
        <v>271</v>
      </c>
      <c r="AX137" s="1">
        <v>392</v>
      </c>
      <c r="AY137" s="1">
        <v>493</v>
      </c>
      <c r="AZ137" s="1">
        <v>588</v>
      </c>
      <c r="BA137" s="1">
        <v>679</v>
      </c>
      <c r="BB137" s="1">
        <v>925</v>
      </c>
      <c r="BC137" s="1">
        <v>388</v>
      </c>
      <c r="BD137" s="1">
        <v>569</v>
      </c>
      <c r="BE137" s="1">
        <v>711</v>
      </c>
      <c r="BF137" s="1">
        <v>844</v>
      </c>
      <c r="BG137" s="1">
        <v>969</v>
      </c>
      <c r="BH137" s="1">
        <v>1327</v>
      </c>
      <c r="BJ137" s="1">
        <f t="shared" si="188"/>
        <v>63.333333333333336</v>
      </c>
      <c r="BK137" s="1">
        <f t="shared" si="188"/>
        <v>59.53125</v>
      </c>
      <c r="BL137" s="1">
        <f t="shared" si="188"/>
        <v>56.625</v>
      </c>
      <c r="BM137" s="1">
        <f t="shared" si="188"/>
        <v>54.375000000000007</v>
      </c>
      <c r="BN137" s="1">
        <f t="shared" si="188"/>
        <v>48.680555555555557</v>
      </c>
      <c r="BO137" s="1">
        <f t="shared" si="188"/>
        <v>84.6875</v>
      </c>
      <c r="BP137" s="1">
        <f t="shared" si="188"/>
        <v>81.666666666666686</v>
      </c>
      <c r="BQ137" s="1">
        <f t="shared" si="188"/>
        <v>77.03125</v>
      </c>
      <c r="BR137" s="1">
        <f t="shared" si="188"/>
        <v>73.5</v>
      </c>
      <c r="BS137" s="1">
        <f t="shared" si="188"/>
        <v>70.729166666666686</v>
      </c>
      <c r="BT137" s="1">
        <f t="shared" si="189"/>
        <v>64.2361111111111</v>
      </c>
      <c r="BU137" s="1">
        <f t="shared" si="189"/>
        <v>121.24999999999999</v>
      </c>
      <c r="BV137" s="1">
        <f t="shared" si="189"/>
        <v>118.54166666666666</v>
      </c>
      <c r="BW137" s="1">
        <f t="shared" si="189"/>
        <v>111.09375</v>
      </c>
      <c r="BX137" s="1">
        <f t="shared" si="189"/>
        <v>105.5</v>
      </c>
      <c r="BY137" s="1">
        <f t="shared" si="189"/>
        <v>100.93750000000001</v>
      </c>
      <c r="BZ137" s="1">
        <f t="shared" si="189"/>
        <v>92.152777777777771</v>
      </c>
    </row>
    <row r="138" spans="1:78" ht="13.5" customHeight="1">
      <c r="B138" s="54" t="s">
        <v>3</v>
      </c>
      <c r="C138" s="28" t="s">
        <v>17</v>
      </c>
      <c r="D138" s="20" t="s">
        <v>13</v>
      </c>
      <c r="E138" s="20" t="s">
        <v>19</v>
      </c>
      <c r="F138" s="28" t="s">
        <v>19</v>
      </c>
      <c r="G138" s="20" t="s">
        <v>3</v>
      </c>
      <c r="H138" s="20" t="s">
        <v>19</v>
      </c>
      <c r="I138" s="29" t="s">
        <v>12</v>
      </c>
      <c r="J138" s="55" t="s">
        <v>18</v>
      </c>
      <c r="K138" s="20" t="s">
        <v>17</v>
      </c>
      <c r="L138" s="56" t="s">
        <v>16</v>
      </c>
      <c r="M138" s="20" t="s">
        <v>15</v>
      </c>
      <c r="N138" s="20" t="s">
        <v>14</v>
      </c>
      <c r="O138" s="20" t="s">
        <v>13</v>
      </c>
      <c r="P138" s="20" t="s">
        <v>12</v>
      </c>
      <c r="Q138" s="20" t="s">
        <v>11</v>
      </c>
      <c r="R138" s="21" t="s">
        <v>11</v>
      </c>
      <c r="S138" s="22" t="s">
        <v>10</v>
      </c>
      <c r="T138" s="23" t="s">
        <v>9</v>
      </c>
      <c r="U138" s="24" t="s">
        <v>9</v>
      </c>
      <c r="V138" s="33" t="s">
        <v>8</v>
      </c>
      <c r="W138" s="34" t="s">
        <v>7</v>
      </c>
      <c r="X138" s="4" t="s">
        <v>6</v>
      </c>
      <c r="Y138" s="6" t="s">
        <v>5</v>
      </c>
      <c r="Z138" s="7" t="s">
        <v>5</v>
      </c>
      <c r="AM138" s="1">
        <v>900</v>
      </c>
      <c r="BJ138" s="1">
        <f t="shared" ref="BJ138:BZ138" si="190">BJ137/BJ134</f>
        <v>1.0026385224274408</v>
      </c>
      <c r="BK138" s="1">
        <f t="shared" si="190"/>
        <v>0.99842767295597501</v>
      </c>
      <c r="BL138" s="1">
        <f t="shared" si="190"/>
        <v>0.99516695957820733</v>
      </c>
      <c r="BM138" s="1">
        <f t="shared" si="190"/>
        <v>0.99315068493150716</v>
      </c>
      <c r="BN138" s="1">
        <f t="shared" si="190"/>
        <v>0.97523650528658878</v>
      </c>
      <c r="BO138" s="1">
        <f t="shared" si="190"/>
        <v>1.0455246913580245</v>
      </c>
      <c r="BP138" s="1">
        <f t="shared" si="190"/>
        <v>0.99492385786802062</v>
      </c>
      <c r="BQ138" s="1">
        <f t="shared" si="190"/>
        <v>0.99395161290322576</v>
      </c>
      <c r="BR138" s="1">
        <f t="shared" si="190"/>
        <v>0.99257258609047949</v>
      </c>
      <c r="BS138" s="1">
        <f t="shared" si="190"/>
        <v>0.99095154699357879</v>
      </c>
      <c r="BT138" s="1">
        <f t="shared" si="190"/>
        <v>0.97573839662447226</v>
      </c>
      <c r="BU138" s="1">
        <f t="shared" si="190"/>
        <v>1.0385438972162742</v>
      </c>
      <c r="BV138" s="1">
        <f t="shared" si="190"/>
        <v>1.0175250357653789</v>
      </c>
      <c r="BW138" s="1">
        <f t="shared" si="190"/>
        <v>1.0065118912797282</v>
      </c>
      <c r="BX138" s="1">
        <f t="shared" si="190"/>
        <v>0.99575271354412453</v>
      </c>
      <c r="BY138" s="1">
        <f t="shared" si="190"/>
        <v>0.98515656771045168</v>
      </c>
      <c r="BZ138" s="1">
        <f t="shared" si="190"/>
        <v>0.97201875183123343</v>
      </c>
    </row>
    <row r="139" spans="1:78" ht="13.5" customHeight="1" thickBot="1">
      <c r="B139" s="57"/>
      <c r="C139" s="3">
        <f>C119</f>
        <v>1.05</v>
      </c>
      <c r="D139" s="37"/>
      <c r="E139" s="38"/>
      <c r="F139" s="38"/>
      <c r="G139" s="37"/>
      <c r="H139" s="37"/>
      <c r="I139" s="39"/>
      <c r="J139" s="58" t="s">
        <v>4</v>
      </c>
      <c r="K139" s="44"/>
      <c r="L139" s="59"/>
      <c r="M139" s="37"/>
      <c r="N139" s="37"/>
      <c r="O139" s="37"/>
      <c r="P139" s="37"/>
      <c r="Q139" s="42"/>
      <c r="R139" s="42"/>
      <c r="S139" s="52" t="s">
        <v>3</v>
      </c>
      <c r="T139" s="43"/>
      <c r="U139" s="44"/>
      <c r="V139" s="39" t="s">
        <v>3</v>
      </c>
      <c r="W139" s="45" t="s">
        <v>3</v>
      </c>
      <c r="X139" s="8" t="s">
        <v>2</v>
      </c>
      <c r="Y139" s="9" t="s">
        <v>1</v>
      </c>
      <c r="Z139" s="13" t="s">
        <v>0</v>
      </c>
      <c r="AM139" s="1" t="s">
        <v>131</v>
      </c>
      <c r="AN139" s="1">
        <f>AM138</f>
        <v>900</v>
      </c>
      <c r="AO139" s="1">
        <v>90</v>
      </c>
      <c r="AP139" s="1">
        <v>70</v>
      </c>
      <c r="AQ139" s="1">
        <f>AO139/2+AP139/2</f>
        <v>80</v>
      </c>
      <c r="AR139" s="1">
        <v>853</v>
      </c>
      <c r="AS139" s="1">
        <v>1074</v>
      </c>
      <c r="AT139" s="1">
        <v>1281</v>
      </c>
      <c r="AU139" s="1">
        <v>1478</v>
      </c>
      <c r="AV139" s="1">
        <v>2022</v>
      </c>
      <c r="AW139" s="1">
        <v>729</v>
      </c>
      <c r="AX139" s="1">
        <v>1108</v>
      </c>
      <c r="AY139" s="1">
        <v>1395</v>
      </c>
      <c r="AZ139" s="1">
        <v>1666</v>
      </c>
      <c r="BA139" s="1">
        <v>1928</v>
      </c>
      <c r="BB139" s="1">
        <v>2666</v>
      </c>
      <c r="BC139" s="1">
        <v>1051</v>
      </c>
      <c r="BD139" s="1">
        <v>1572</v>
      </c>
      <c r="BE139" s="1">
        <v>1987</v>
      </c>
      <c r="BF139" s="1">
        <v>2384</v>
      </c>
      <c r="BG139" s="1">
        <v>2766</v>
      </c>
      <c r="BH139" s="1">
        <v>3840</v>
      </c>
      <c r="BJ139" s="1">
        <f t="shared" ref="BJ139:BS142" si="191">AR139/($AQ139-20)/AR$132/$AN139*1000000</f>
        <v>52.654320987654323</v>
      </c>
      <c r="BK139" s="1">
        <f t="shared" si="191"/>
        <v>49.722222222222221</v>
      </c>
      <c r="BL139" s="1">
        <f t="shared" si="191"/>
        <v>47.444444444444443</v>
      </c>
      <c r="BM139" s="1">
        <f t="shared" si="191"/>
        <v>45.617283950617278</v>
      </c>
      <c r="BN139" s="1">
        <f t="shared" si="191"/>
        <v>41.604938271604937</v>
      </c>
      <c r="BO139" s="1">
        <f t="shared" si="191"/>
        <v>67.5</v>
      </c>
      <c r="BP139" s="1">
        <f t="shared" si="191"/>
        <v>68.395061728395063</v>
      </c>
      <c r="BQ139" s="1">
        <f t="shared" si="191"/>
        <v>64.583333333333329</v>
      </c>
      <c r="BR139" s="1">
        <f t="shared" si="191"/>
        <v>61.703703703703695</v>
      </c>
      <c r="BS139" s="1">
        <f t="shared" si="191"/>
        <v>59.506172839506178</v>
      </c>
      <c r="BT139" s="1">
        <f t="shared" ref="BT139:BZ142" si="192">BB139/($AQ139-20)/BB$132/$AN139*1000000</f>
        <v>54.855967078189302</v>
      </c>
      <c r="BU139" s="1">
        <f t="shared" si="192"/>
        <v>97.314814814814824</v>
      </c>
      <c r="BV139" s="1">
        <f t="shared" si="192"/>
        <v>97.037037037037038</v>
      </c>
      <c r="BW139" s="1">
        <f t="shared" si="192"/>
        <v>91.990740740740733</v>
      </c>
      <c r="BX139" s="1">
        <f t="shared" si="192"/>
        <v>88.296296296296305</v>
      </c>
      <c r="BY139" s="1">
        <f t="shared" si="192"/>
        <v>85.370370370370381</v>
      </c>
      <c r="BZ139" s="1">
        <f t="shared" si="192"/>
        <v>79.012345679012341</v>
      </c>
    </row>
    <row r="140" spans="1:78" ht="13.5" customHeight="1">
      <c r="A140" s="1">
        <v>1</v>
      </c>
      <c r="B140" s="3">
        <f t="shared" ref="B140:B149" si="193">B120</f>
        <v>1000</v>
      </c>
      <c r="C140" s="1">
        <f t="shared" ref="C140:C149" si="194">IF(B140&lt;1,0.000001,C120*(1+AB120))</f>
        <v>2.8261577062219514E-2</v>
      </c>
      <c r="D140" s="1">
        <f t="shared" ref="D140:D203" si="195">EXP((1+(E140-F140-55)/55*$B$18)*B140/C140/-210000)</f>
        <v>0.8473676456920346</v>
      </c>
      <c r="E140" s="1">
        <f t="shared" ref="E140:E149" si="196">R140</f>
        <v>72.531801943107496</v>
      </c>
      <c r="F140" s="1">
        <f t="shared" ref="F140:F149" si="197">F120</f>
        <v>20</v>
      </c>
      <c r="G140" s="1">
        <f t="shared" ref="G140:G149" si="198">(E140-F140)*C140*(1-D140)*4200</f>
        <v>951.7318088494236</v>
      </c>
      <c r="H140" s="1">
        <f t="shared" ref="H140:H149" si="199">(E140-F140)*D140+F140</f>
        <v>64.513749336491244</v>
      </c>
      <c r="I140" s="1">
        <f t="shared" ref="I140:I149" si="200">B140*0.001*6/C140</f>
        <v>212.30237742184909</v>
      </c>
      <c r="J140" s="3">
        <f t="shared" ref="J140:J149" si="201">J120</f>
        <v>10</v>
      </c>
      <c r="K140" s="47">
        <f t="shared" ref="K140:K149" si="202">K139+C140</f>
        <v>2.8261577062219514E-2</v>
      </c>
      <c r="L140" s="3">
        <f t="shared" ref="L140:L149" si="203">L120</f>
        <v>3</v>
      </c>
      <c r="M140" s="47">
        <f t="shared" ref="M140:M149" si="204">K140/(J140*J140*3.14/4000)</f>
        <v>0.36002008996457979</v>
      </c>
      <c r="N140" s="47">
        <f t="shared" ref="N140:N149" si="205">L140*26400/J140^1.27*M140^1.83*$N$69</f>
        <v>819.80983036083887</v>
      </c>
      <c r="O140" s="1">
        <f t="shared" ref="O140:O149" si="206">EXP(-(J140+2)*3.14/1000*$O$66/(M140*J140*J140*3.14/4000*4200)*L140)</f>
        <v>0.99052192473293632</v>
      </c>
      <c r="P140" s="1">
        <f t="shared" ref="P140:P149" si="207">L140/M140</f>
        <v>8.3328683138075768</v>
      </c>
      <c r="Q140" s="1">
        <f t="shared" ref="Q140:Q149" si="208">R141</f>
        <v>73.034466609379763</v>
      </c>
      <c r="R140" s="1">
        <f t="shared" ref="R140:R149" si="209">(Q140-F140)*O140+F140</f>
        <v>72.531801943107496</v>
      </c>
      <c r="S140" s="47">
        <f t="shared" ref="S140:S149" si="210">K140*(1-O140)*4200*(Q140-F140)</f>
        <v>59.665604049696988</v>
      </c>
      <c r="T140" s="1">
        <f t="shared" ref="T140:T149" si="211">(U139*K139+H140*C140)/K140</f>
        <v>64.513749336491244</v>
      </c>
      <c r="U140" s="47">
        <f t="shared" ref="U140:U149" si="212">(T140-F140)*O140+F140</f>
        <v>64.091844669860777</v>
      </c>
      <c r="V140" s="47">
        <f t="shared" ref="V140:V149" si="213">K140*(1-O140)*4200*(T140-F140)</f>
        <v>50.079503245325647</v>
      </c>
      <c r="W140" s="2">
        <f t="shared" ref="W140:W203" si="214">G140+(S140+V140)*$AB$22+0.01</f>
        <v>951.74180884942359</v>
      </c>
      <c r="X140" s="1">
        <f t="shared" ref="X140:X149" si="215">C140*3600</f>
        <v>101.74167742399025</v>
      </c>
      <c r="Y140" s="1">
        <f t="shared" ref="Y140:Y149" si="216">Y141-2*N140/1000</f>
        <v>5.9999999999999982</v>
      </c>
      <c r="Z140" s="2">
        <f t="shared" ref="Z140:Z149" si="217">-1.1-1.8*LOG10(Y140/X140/X140)</f>
        <v>4.726323766289994</v>
      </c>
      <c r="AA140" s="3">
        <f t="shared" ref="AA140:AA149" si="218">AA120</f>
        <v>1000</v>
      </c>
      <c r="AB140" s="1">
        <f t="shared" ref="AB140" si="219">((AA140/W140)-1)*AB$23+AC140+AD140</f>
        <v>5.0705128956052281E-2</v>
      </c>
      <c r="AC140" s="1">
        <f>((N152/N151)-1)*AB$24</f>
        <v>0</v>
      </c>
      <c r="AD140" s="64">
        <f t="shared" ref="AD140" si="220">(AC$21-(X140/1000/SQRT(Y140/104))*1000/B140)*AB$21</f>
        <v>0</v>
      </c>
      <c r="AE140" s="1">
        <f t="shared" ref="AE140:AE150" si="221">AE141</f>
        <v>12.643728735058318</v>
      </c>
      <c r="AM140" s="1" t="s">
        <v>132</v>
      </c>
      <c r="AN140" s="1">
        <f>AN139</f>
        <v>900</v>
      </c>
      <c r="AO140" s="1">
        <v>75</v>
      </c>
      <c r="AP140" s="1">
        <v>65</v>
      </c>
      <c r="AQ140" s="1">
        <f>AO140/2+AP140/2</f>
        <v>70</v>
      </c>
      <c r="AR140" s="1">
        <v>671</v>
      </c>
      <c r="AS140" s="1">
        <v>843</v>
      </c>
      <c r="AT140" s="1">
        <v>1005</v>
      </c>
      <c r="AU140" s="1">
        <v>1159</v>
      </c>
      <c r="AV140" s="1">
        <v>1579</v>
      </c>
      <c r="AW140" s="1">
        <v>584</v>
      </c>
      <c r="AX140" s="1">
        <v>869</v>
      </c>
      <c r="AY140" s="1">
        <v>1094</v>
      </c>
      <c r="AZ140" s="1">
        <v>1307</v>
      </c>
      <c r="BA140" s="1">
        <v>1511</v>
      </c>
      <c r="BB140" s="1">
        <v>2082</v>
      </c>
      <c r="BC140" s="1">
        <v>841</v>
      </c>
      <c r="BD140" s="1">
        <v>1241</v>
      </c>
      <c r="BE140" s="1">
        <v>1564</v>
      </c>
      <c r="BF140" s="1">
        <v>1871</v>
      </c>
      <c r="BG140" s="1">
        <v>2165</v>
      </c>
      <c r="BH140" s="1">
        <v>2995</v>
      </c>
      <c r="BJ140" s="1">
        <f t="shared" si="191"/>
        <v>49.703703703703702</v>
      </c>
      <c r="BK140" s="1">
        <f t="shared" si="191"/>
        <v>46.833333333333329</v>
      </c>
      <c r="BL140" s="1">
        <f t="shared" si="191"/>
        <v>44.666666666666664</v>
      </c>
      <c r="BM140" s="1">
        <f t="shared" si="191"/>
        <v>42.925925925925924</v>
      </c>
      <c r="BN140" s="1">
        <f t="shared" si="191"/>
        <v>38.987654320987652</v>
      </c>
      <c r="BO140" s="1">
        <f t="shared" si="191"/>
        <v>64.888888888888886</v>
      </c>
      <c r="BP140" s="1">
        <f t="shared" si="191"/>
        <v>64.370370370370367</v>
      </c>
      <c r="BQ140" s="1">
        <f t="shared" si="191"/>
        <v>60.777777777777771</v>
      </c>
      <c r="BR140" s="1">
        <f t="shared" si="191"/>
        <v>58.088888888888889</v>
      </c>
      <c r="BS140" s="1">
        <f t="shared" si="191"/>
        <v>55.962962962962962</v>
      </c>
      <c r="BT140" s="1">
        <f t="shared" si="192"/>
        <v>51.407407407407405</v>
      </c>
      <c r="BU140" s="1">
        <f t="shared" si="192"/>
        <v>93.444444444444457</v>
      </c>
      <c r="BV140" s="1">
        <f t="shared" si="192"/>
        <v>91.925925925925938</v>
      </c>
      <c r="BW140" s="1">
        <f t="shared" si="192"/>
        <v>86.8888888888889</v>
      </c>
      <c r="BX140" s="1">
        <f t="shared" si="192"/>
        <v>83.155555555555566</v>
      </c>
      <c r="BY140" s="1">
        <f t="shared" si="192"/>
        <v>80.185185185185176</v>
      </c>
      <c r="BZ140" s="1">
        <f t="shared" si="192"/>
        <v>73.950617283950606</v>
      </c>
    </row>
    <row r="141" spans="1:78" ht="13.5" customHeight="1">
      <c r="A141" s="1">
        <v>2</v>
      </c>
      <c r="B141" s="3">
        <f t="shared" si="193"/>
        <v>1000</v>
      </c>
      <c r="C141" s="1">
        <f t="shared" si="194"/>
        <v>2.7518689023831113E-2</v>
      </c>
      <c r="D141" s="1">
        <f t="shared" si="195"/>
        <v>0.84308065729865311</v>
      </c>
      <c r="E141" s="1">
        <f t="shared" si="196"/>
        <v>73.034466609379763</v>
      </c>
      <c r="F141" s="1">
        <f t="shared" si="197"/>
        <v>20</v>
      </c>
      <c r="G141" s="1">
        <f t="shared" si="198"/>
        <v>961.85967224592343</v>
      </c>
      <c r="H141" s="1">
        <f t="shared" si="199"/>
        <v>64.712332968519362</v>
      </c>
      <c r="I141" s="1">
        <f t="shared" si="200"/>
        <v>218.03364232954613</v>
      </c>
      <c r="J141" s="3">
        <f t="shared" si="201"/>
        <v>14.142135623730951</v>
      </c>
      <c r="K141" s="47">
        <f t="shared" si="202"/>
        <v>5.5780266086050627E-2</v>
      </c>
      <c r="L141" s="3">
        <f t="shared" si="203"/>
        <v>3</v>
      </c>
      <c r="M141" s="47">
        <f t="shared" si="204"/>
        <v>0.3552883190194307</v>
      </c>
      <c r="N141" s="47">
        <f t="shared" si="205"/>
        <v>515.28114100821097</v>
      </c>
      <c r="O141" s="1">
        <f t="shared" si="206"/>
        <v>0.99353046035972481</v>
      </c>
      <c r="P141" s="1">
        <f t="shared" si="207"/>
        <v>8.4438464182548323</v>
      </c>
      <c r="Q141" s="1">
        <f t="shared" si="208"/>
        <v>73.379809402298264</v>
      </c>
      <c r="R141" s="1">
        <f t="shared" si="209"/>
        <v>73.034466609379763</v>
      </c>
      <c r="S141" s="47">
        <f t="shared" si="210"/>
        <v>80.905914095554678</v>
      </c>
      <c r="T141" s="1">
        <f t="shared" si="211"/>
        <v>64.397956951709176</v>
      </c>
      <c r="U141" s="47">
        <f t="shared" si="212"/>
        <v>64.110722609262865</v>
      </c>
      <c r="V141" s="47">
        <f t="shared" si="213"/>
        <v>67.292433812970145</v>
      </c>
      <c r="W141" s="2">
        <f t="shared" si="214"/>
        <v>961.86967224592343</v>
      </c>
      <c r="X141" s="1">
        <f t="shared" si="215"/>
        <v>99.067280485792011</v>
      </c>
      <c r="Y141" s="1">
        <f t="shared" si="216"/>
        <v>7.6396196607216762</v>
      </c>
      <c r="Z141" s="2">
        <f t="shared" si="217"/>
        <v>4.4958197406390852</v>
      </c>
      <c r="AA141" s="3">
        <f t="shared" si="218"/>
        <v>1000</v>
      </c>
      <c r="AB141" s="1">
        <f t="shared" si="182"/>
        <v>3.9641885854498238E-2</v>
      </c>
      <c r="AC141" s="1">
        <f t="shared" ref="AC141:AC149" si="222">AC140</f>
        <v>0</v>
      </c>
      <c r="AD141" s="64">
        <f t="shared" si="183"/>
        <v>0</v>
      </c>
      <c r="AE141" s="1">
        <f t="shared" si="221"/>
        <v>12.643728735058318</v>
      </c>
      <c r="AM141" s="1" t="s">
        <v>133</v>
      </c>
      <c r="AN141" s="1">
        <f>AN140</f>
        <v>900</v>
      </c>
      <c r="AO141" s="1">
        <v>70</v>
      </c>
      <c r="AP141" s="1">
        <v>55</v>
      </c>
      <c r="AQ141" s="1">
        <f>AO141/2+AP141/2</f>
        <v>62.5</v>
      </c>
      <c r="AR141" s="1">
        <v>541</v>
      </c>
      <c r="AS141" s="1">
        <v>680</v>
      </c>
      <c r="AT141" s="1">
        <v>810</v>
      </c>
      <c r="AU141" s="1">
        <v>934</v>
      </c>
      <c r="AV141" s="1">
        <v>1266</v>
      </c>
      <c r="AW141" s="1">
        <v>472</v>
      </c>
      <c r="AX141" s="1">
        <v>700</v>
      </c>
      <c r="AY141" s="1">
        <v>881</v>
      </c>
      <c r="AZ141" s="1">
        <v>1052</v>
      </c>
      <c r="BA141" s="1">
        <v>1216</v>
      </c>
      <c r="BB141" s="1">
        <v>1670</v>
      </c>
      <c r="BC141" s="1">
        <v>678</v>
      </c>
      <c r="BD141" s="1">
        <v>1005</v>
      </c>
      <c r="BE141" s="1">
        <v>1264</v>
      </c>
      <c r="BF141" s="1">
        <v>1508</v>
      </c>
      <c r="BG141" s="1">
        <v>1741</v>
      </c>
      <c r="BH141" s="1">
        <v>2400</v>
      </c>
      <c r="BJ141" s="1">
        <f t="shared" si="191"/>
        <v>47.145969498910667</v>
      </c>
      <c r="BK141" s="1">
        <f t="shared" si="191"/>
        <v>44.44444444444445</v>
      </c>
      <c r="BL141" s="1">
        <f t="shared" si="191"/>
        <v>42.352941176470587</v>
      </c>
      <c r="BM141" s="1">
        <f t="shared" si="191"/>
        <v>40.697167755991281</v>
      </c>
      <c r="BN141" s="1">
        <f t="shared" si="191"/>
        <v>36.775599128540314</v>
      </c>
      <c r="BO141" s="1">
        <f t="shared" si="191"/>
        <v>61.699346405228752</v>
      </c>
      <c r="BP141" s="1">
        <f t="shared" si="191"/>
        <v>61.002178649237464</v>
      </c>
      <c r="BQ141" s="1">
        <f t="shared" si="191"/>
        <v>57.58169934640523</v>
      </c>
      <c r="BR141" s="1">
        <f t="shared" si="191"/>
        <v>55.006535947712422</v>
      </c>
      <c r="BS141" s="1">
        <f t="shared" si="191"/>
        <v>52.984749455337692</v>
      </c>
      <c r="BT141" s="1">
        <f t="shared" si="192"/>
        <v>48.511256354393609</v>
      </c>
      <c r="BU141" s="1">
        <f t="shared" si="192"/>
        <v>88.627450980392169</v>
      </c>
      <c r="BV141" s="1">
        <f t="shared" si="192"/>
        <v>87.58169934640523</v>
      </c>
      <c r="BW141" s="1">
        <f t="shared" si="192"/>
        <v>82.614379084967325</v>
      </c>
      <c r="BX141" s="1">
        <f t="shared" si="192"/>
        <v>78.849673202614383</v>
      </c>
      <c r="BY141" s="1">
        <f t="shared" si="192"/>
        <v>75.860566448801748</v>
      </c>
      <c r="BZ141" s="1">
        <f t="shared" si="192"/>
        <v>69.716775599128539</v>
      </c>
    </row>
    <row r="142" spans="1:78" ht="13.5" customHeight="1">
      <c r="A142" s="1">
        <v>3</v>
      </c>
      <c r="B142" s="3">
        <f t="shared" si="193"/>
        <v>1000</v>
      </c>
      <c r="C142" s="1">
        <f t="shared" si="194"/>
        <v>2.7028047775352615E-2</v>
      </c>
      <c r="D142" s="1">
        <f t="shared" si="195"/>
        <v>0.84011909901385828</v>
      </c>
      <c r="E142" s="1">
        <f t="shared" si="196"/>
        <v>73.379809402298264</v>
      </c>
      <c r="F142" s="1">
        <f t="shared" si="197"/>
        <v>20</v>
      </c>
      <c r="G142" s="1">
        <f t="shared" si="198"/>
        <v>968.80768260051968</v>
      </c>
      <c r="H142" s="1">
        <f t="shared" si="199"/>
        <v>64.845397380590299</v>
      </c>
      <c r="I142" s="1">
        <f t="shared" si="200"/>
        <v>221.99161588990208</v>
      </c>
      <c r="J142" s="3">
        <f t="shared" si="201"/>
        <v>17.320508075688775</v>
      </c>
      <c r="K142" s="47">
        <f t="shared" si="202"/>
        <v>8.2808313861403249E-2</v>
      </c>
      <c r="L142" s="3">
        <f t="shared" si="203"/>
        <v>3</v>
      </c>
      <c r="M142" s="47">
        <f t="shared" si="204"/>
        <v>0.35162765970871857</v>
      </c>
      <c r="N142" s="47">
        <f t="shared" si="205"/>
        <v>390.83652486791544</v>
      </c>
      <c r="O142" s="1">
        <f t="shared" si="206"/>
        <v>0.99478072248323135</v>
      </c>
      <c r="P142" s="1">
        <f t="shared" si="207"/>
        <v>8.5317520313536797</v>
      </c>
      <c r="Q142" s="1">
        <f t="shared" si="208"/>
        <v>73.659875182390323</v>
      </c>
      <c r="R142" s="1">
        <f t="shared" si="209"/>
        <v>73.379809402298264</v>
      </c>
      <c r="S142" s="47">
        <f t="shared" si="210"/>
        <v>97.405455082749242</v>
      </c>
      <c r="T142" s="1">
        <f t="shared" si="211"/>
        <v>64.350515256798445</v>
      </c>
      <c r="U142" s="47">
        <f t="shared" si="212"/>
        <v>64.119037609661532</v>
      </c>
      <c r="V142" s="47">
        <f t="shared" si="213"/>
        <v>80.506749355253135</v>
      </c>
      <c r="W142" s="2">
        <f t="shared" si="214"/>
        <v>968.81768260051967</v>
      </c>
      <c r="X142" s="1">
        <f t="shared" si="215"/>
        <v>97.300971991269421</v>
      </c>
      <c r="Y142" s="1">
        <f t="shared" si="216"/>
        <v>8.6701819427380986</v>
      </c>
      <c r="Z142" s="2">
        <f t="shared" si="217"/>
        <v>4.3687710631387642</v>
      </c>
      <c r="AA142" s="3">
        <f t="shared" si="218"/>
        <v>1000</v>
      </c>
      <c r="AB142" s="1">
        <f t="shared" si="182"/>
        <v>3.218594990522905E-2</v>
      </c>
      <c r="AC142" s="1">
        <f t="shared" si="222"/>
        <v>0</v>
      </c>
      <c r="AD142" s="64">
        <f t="shared" si="183"/>
        <v>0</v>
      </c>
      <c r="AE142" s="1">
        <f t="shared" si="221"/>
        <v>12.643728735058318</v>
      </c>
      <c r="AM142" s="1" t="s">
        <v>134</v>
      </c>
      <c r="AN142" s="1">
        <f>AN141</f>
        <v>900</v>
      </c>
      <c r="AO142" s="1">
        <v>55</v>
      </c>
      <c r="AP142" s="1">
        <v>45</v>
      </c>
      <c r="AQ142" s="1">
        <f>AO142/2+AP142/2</f>
        <v>50</v>
      </c>
      <c r="AR142" s="1">
        <v>342</v>
      </c>
      <c r="AS142" s="1">
        <v>429</v>
      </c>
      <c r="AT142" s="1">
        <v>510</v>
      </c>
      <c r="AU142" s="1">
        <v>587</v>
      </c>
      <c r="AV142" s="1">
        <v>789</v>
      </c>
      <c r="AW142" s="1">
        <v>305</v>
      </c>
      <c r="AX142" s="1">
        <v>441</v>
      </c>
      <c r="AY142" s="1">
        <v>554</v>
      </c>
      <c r="AZ142" s="1">
        <v>661</v>
      </c>
      <c r="BA142" s="1">
        <v>764</v>
      </c>
      <c r="BB142" s="1">
        <v>1041</v>
      </c>
      <c r="BC142" s="1">
        <v>437</v>
      </c>
      <c r="BD142" s="1">
        <v>640</v>
      </c>
      <c r="BE142" s="1">
        <v>800</v>
      </c>
      <c r="BF142" s="1">
        <v>949</v>
      </c>
      <c r="BG142" s="1">
        <v>1090</v>
      </c>
      <c r="BH142" s="1">
        <v>1493</v>
      </c>
      <c r="BJ142" s="1">
        <f t="shared" si="191"/>
        <v>42.222222222222221</v>
      </c>
      <c r="BK142" s="1">
        <f t="shared" si="191"/>
        <v>39.722222222222229</v>
      </c>
      <c r="BL142" s="1">
        <f t="shared" si="191"/>
        <v>37.777777777777779</v>
      </c>
      <c r="BM142" s="1">
        <f t="shared" si="191"/>
        <v>36.23456790123457</v>
      </c>
      <c r="BN142" s="1">
        <f t="shared" si="191"/>
        <v>32.469135802469133</v>
      </c>
      <c r="BO142" s="1">
        <f t="shared" si="191"/>
        <v>56.481481481481474</v>
      </c>
      <c r="BP142" s="1">
        <f t="shared" si="191"/>
        <v>54.444444444444436</v>
      </c>
      <c r="BQ142" s="1">
        <f t="shared" si="191"/>
        <v>51.296296296296291</v>
      </c>
      <c r="BR142" s="1">
        <f t="shared" si="191"/>
        <v>48.962962962962969</v>
      </c>
      <c r="BS142" s="1">
        <f t="shared" si="191"/>
        <v>47.160493827160494</v>
      </c>
      <c r="BT142" s="1">
        <f t="shared" si="192"/>
        <v>42.839506172839513</v>
      </c>
      <c r="BU142" s="1">
        <f t="shared" si="192"/>
        <v>80.925925925925924</v>
      </c>
      <c r="BV142" s="1">
        <f t="shared" si="192"/>
        <v>79.012345679012341</v>
      </c>
      <c r="BW142" s="1">
        <f t="shared" si="192"/>
        <v>74.074074074074076</v>
      </c>
      <c r="BX142" s="1">
        <f t="shared" si="192"/>
        <v>70.296296296296305</v>
      </c>
      <c r="BY142" s="1">
        <f t="shared" si="192"/>
        <v>67.283950617283949</v>
      </c>
      <c r="BZ142" s="1">
        <f t="shared" si="192"/>
        <v>61.440329218106996</v>
      </c>
    </row>
    <row r="143" spans="1:78" ht="13.5" customHeight="1">
      <c r="A143" s="1">
        <v>4</v>
      </c>
      <c r="B143" s="3">
        <f t="shared" si="193"/>
        <v>1000</v>
      </c>
      <c r="C143" s="1">
        <f t="shared" si="194"/>
        <v>2.6641607347006671E-2</v>
      </c>
      <c r="D143" s="1">
        <f t="shared" si="195"/>
        <v>0.83770904672035573</v>
      </c>
      <c r="E143" s="1">
        <f t="shared" si="196"/>
        <v>73.659875182390323</v>
      </c>
      <c r="F143" s="1">
        <f t="shared" si="197"/>
        <v>20</v>
      </c>
      <c r="G143" s="1">
        <f t="shared" si="198"/>
        <v>974.43681372403296</v>
      </c>
      <c r="H143" s="1">
        <f t="shared" si="199"/>
        <v>64.95136288617347</v>
      </c>
      <c r="I143" s="1">
        <f t="shared" si="200"/>
        <v>225.21163688999914</v>
      </c>
      <c r="J143" s="3">
        <f t="shared" si="201"/>
        <v>20</v>
      </c>
      <c r="K143" s="47">
        <f t="shared" si="202"/>
        <v>0.10944992120840992</v>
      </c>
      <c r="L143" s="3">
        <f t="shared" si="203"/>
        <v>3</v>
      </c>
      <c r="M143" s="47">
        <f t="shared" si="204"/>
        <v>0.34856662805226091</v>
      </c>
      <c r="N143" s="47">
        <f t="shared" si="205"/>
        <v>320.41299657410332</v>
      </c>
      <c r="O143" s="1">
        <f t="shared" si="206"/>
        <v>0.9955018881356994</v>
      </c>
      <c r="P143" s="1">
        <f t="shared" si="207"/>
        <v>8.6066759080281408</v>
      </c>
      <c r="Q143" s="1">
        <f t="shared" si="208"/>
        <v>73.902333910064684</v>
      </c>
      <c r="R143" s="1">
        <f t="shared" si="209"/>
        <v>73.659875182390323</v>
      </c>
      <c r="S143" s="47">
        <f t="shared" si="210"/>
        <v>111.45577228904762</v>
      </c>
      <c r="T143" s="1">
        <f t="shared" si="211"/>
        <v>64.321636962470535</v>
      </c>
      <c r="U143" s="47">
        <f t="shared" si="212"/>
        <v>64.122273281404432</v>
      </c>
      <c r="V143" s="47">
        <f t="shared" si="213"/>
        <v>91.645424574919375</v>
      </c>
      <c r="W143" s="2">
        <f t="shared" si="214"/>
        <v>974.44681372403295</v>
      </c>
      <c r="X143" s="1">
        <f t="shared" si="215"/>
        <v>95.909786449224015</v>
      </c>
      <c r="Y143" s="1">
        <f t="shared" si="216"/>
        <v>9.4518549924739297</v>
      </c>
      <c r="Z143" s="2">
        <f t="shared" si="217"/>
        <v>4.2787758360520378</v>
      </c>
      <c r="AA143" s="3">
        <f t="shared" si="218"/>
        <v>1000</v>
      </c>
      <c r="AB143" s="1">
        <f t="shared" si="182"/>
        <v>2.6223274493874849E-2</v>
      </c>
      <c r="AC143" s="1">
        <f t="shared" si="222"/>
        <v>0</v>
      </c>
      <c r="AD143" s="64">
        <f t="shared" si="183"/>
        <v>0</v>
      </c>
      <c r="AE143" s="1">
        <f t="shared" si="221"/>
        <v>12.643728735058318</v>
      </c>
      <c r="AM143" s="1">
        <v>1000</v>
      </c>
    </row>
    <row r="144" spans="1:78" ht="13.5" customHeight="1">
      <c r="A144" s="1">
        <v>5</v>
      </c>
      <c r="B144" s="3">
        <f t="shared" si="193"/>
        <v>1000</v>
      </c>
      <c r="C144" s="1">
        <f t="shared" si="194"/>
        <v>2.6315086549442833E-2</v>
      </c>
      <c r="D144" s="1">
        <f t="shared" si="195"/>
        <v>0.83561703942555199</v>
      </c>
      <c r="E144" s="1">
        <f t="shared" si="196"/>
        <v>73.902333910064684</v>
      </c>
      <c r="F144" s="1">
        <f t="shared" si="197"/>
        <v>20</v>
      </c>
      <c r="G144" s="1">
        <f t="shared" si="198"/>
        <v>979.30610320141568</v>
      </c>
      <c r="H144" s="1">
        <f t="shared" si="199"/>
        <v>65.041708680055791</v>
      </c>
      <c r="I144" s="1">
        <f t="shared" si="200"/>
        <v>228.00609029830599</v>
      </c>
      <c r="J144" s="3">
        <f t="shared" si="201"/>
        <v>22.360679774997898</v>
      </c>
      <c r="K144" s="47">
        <f t="shared" si="202"/>
        <v>0.13576500775785275</v>
      </c>
      <c r="L144" s="3">
        <f t="shared" si="203"/>
        <v>3</v>
      </c>
      <c r="M144" s="47">
        <f t="shared" si="204"/>
        <v>0.34589810893720441</v>
      </c>
      <c r="N144" s="47">
        <f t="shared" si="205"/>
        <v>274.19809002438308</v>
      </c>
      <c r="O144" s="1">
        <f t="shared" si="206"/>
        <v>0.99598366834467533</v>
      </c>
      <c r="P144" s="1">
        <f t="shared" si="207"/>
        <v>8.673074302769983</v>
      </c>
      <c r="Q144" s="1">
        <f t="shared" si="208"/>
        <v>74.119696560537335</v>
      </c>
      <c r="R144" s="1">
        <f t="shared" si="209"/>
        <v>73.902333910064684</v>
      </c>
      <c r="S144" s="47">
        <f t="shared" si="210"/>
        <v>123.94301609628532</v>
      </c>
      <c r="T144" s="1">
        <f t="shared" si="211"/>
        <v>64.300485786170654</v>
      </c>
      <c r="U144" s="47">
        <f t="shared" si="212"/>
        <v>64.122560342761403</v>
      </c>
      <c r="V144" s="47">
        <f t="shared" si="213"/>
        <v>101.45540666006448</v>
      </c>
      <c r="W144" s="2">
        <f t="shared" si="214"/>
        <v>979.31610320141567</v>
      </c>
      <c r="X144" s="1">
        <f t="shared" si="215"/>
        <v>94.734311577994205</v>
      </c>
      <c r="Y144" s="1">
        <f t="shared" si="216"/>
        <v>10.092680985622136</v>
      </c>
      <c r="Z144" s="2">
        <f t="shared" si="217"/>
        <v>4.2082145096693466</v>
      </c>
      <c r="AA144" s="3">
        <f t="shared" si="218"/>
        <v>1000</v>
      </c>
      <c r="AB144" s="1">
        <f t="shared" si="182"/>
        <v>2.112075634309285E-2</v>
      </c>
      <c r="AC144" s="1">
        <f t="shared" si="222"/>
        <v>0</v>
      </c>
      <c r="AD144" s="64">
        <f t="shared" si="183"/>
        <v>0</v>
      </c>
      <c r="AE144" s="1">
        <f t="shared" si="221"/>
        <v>12.643728735058318</v>
      </c>
      <c r="AM144" s="1" t="s">
        <v>131</v>
      </c>
      <c r="AN144" s="1">
        <f>AM143</f>
        <v>1000</v>
      </c>
      <c r="AO144" s="1">
        <v>90</v>
      </c>
      <c r="AP144" s="1">
        <v>70</v>
      </c>
      <c r="AQ144" s="1">
        <f>AO144/2+AP144/2</f>
        <v>80</v>
      </c>
      <c r="AR144" s="1">
        <v>948</v>
      </c>
      <c r="AS144" s="1">
        <v>1193</v>
      </c>
      <c r="AT144" s="1">
        <v>1423</v>
      </c>
      <c r="AU144" s="1">
        <v>1642</v>
      </c>
      <c r="AV144" s="1">
        <v>2247</v>
      </c>
      <c r="AW144" s="1">
        <v>810</v>
      </c>
      <c r="AX144" s="1">
        <v>1231</v>
      </c>
      <c r="AY144" s="1">
        <v>1550</v>
      </c>
      <c r="AZ144" s="1">
        <v>1852</v>
      </c>
      <c r="BA144" s="1">
        <v>2142</v>
      </c>
      <c r="BB144" s="1">
        <v>2962</v>
      </c>
      <c r="BC144" s="1">
        <v>1168</v>
      </c>
      <c r="BD144" s="1">
        <v>1747</v>
      </c>
      <c r="BE144" s="1">
        <v>2208</v>
      </c>
      <c r="BF144" s="1">
        <v>2649</v>
      </c>
      <c r="BG144" s="1">
        <v>3074</v>
      </c>
      <c r="BH144" s="1">
        <v>4267</v>
      </c>
      <c r="BJ144" s="1">
        <f t="shared" ref="BJ144:BS147" si="223">AR144/($AQ144-20)/AR$132/$AN144*1000000</f>
        <v>52.666666666666671</v>
      </c>
      <c r="BK144" s="1">
        <f t="shared" si="223"/>
        <v>49.708333333333336</v>
      </c>
      <c r="BL144" s="1">
        <f t="shared" si="223"/>
        <v>47.433333333333323</v>
      </c>
      <c r="BM144" s="1">
        <f t="shared" si="223"/>
        <v>45.611111111111107</v>
      </c>
      <c r="BN144" s="1">
        <f t="shared" si="223"/>
        <v>41.611111111111114</v>
      </c>
      <c r="BO144" s="1">
        <f t="shared" si="223"/>
        <v>67.5</v>
      </c>
      <c r="BP144" s="1">
        <f t="shared" si="223"/>
        <v>68.388888888888886</v>
      </c>
      <c r="BQ144" s="1">
        <f t="shared" si="223"/>
        <v>64.583333333333329</v>
      </c>
      <c r="BR144" s="1">
        <f t="shared" si="223"/>
        <v>61.733333333333334</v>
      </c>
      <c r="BS144" s="1">
        <f t="shared" si="223"/>
        <v>59.5</v>
      </c>
      <c r="BT144" s="1">
        <f t="shared" ref="BT144:BZ147" si="224">BB144/($AQ144-20)/BB$132/$AN144*1000000</f>
        <v>54.851851851851855</v>
      </c>
      <c r="BU144" s="1">
        <f t="shared" si="224"/>
        <v>97.333333333333329</v>
      </c>
      <c r="BV144" s="1">
        <f t="shared" si="224"/>
        <v>97.055555555555557</v>
      </c>
      <c r="BW144" s="1">
        <f t="shared" si="224"/>
        <v>92</v>
      </c>
      <c r="BX144" s="1">
        <f t="shared" si="224"/>
        <v>88.300000000000011</v>
      </c>
      <c r="BY144" s="1">
        <f t="shared" si="224"/>
        <v>85.388888888888886</v>
      </c>
      <c r="BZ144" s="1">
        <f t="shared" si="224"/>
        <v>79.018518518518519</v>
      </c>
    </row>
    <row r="145" spans="1:78" ht="13.5" customHeight="1">
      <c r="A145" s="1">
        <v>6</v>
      </c>
      <c r="B145" s="3">
        <f t="shared" si="193"/>
        <v>1000</v>
      </c>
      <c r="C145" s="1">
        <f t="shared" si="194"/>
        <v>2.6028511907408489E-2</v>
      </c>
      <c r="D145" s="1">
        <f t="shared" si="195"/>
        <v>0.83373736054487202</v>
      </c>
      <c r="E145" s="1">
        <f t="shared" si="196"/>
        <v>74.119696560537335</v>
      </c>
      <c r="F145" s="1">
        <f t="shared" si="197"/>
        <v>20</v>
      </c>
      <c r="G145" s="1">
        <f t="shared" si="198"/>
        <v>983.66824936659827</v>
      </c>
      <c r="H145" s="1">
        <f t="shared" si="199"/>
        <v>65.121612963871783</v>
      </c>
      <c r="I145" s="1">
        <f t="shared" si="200"/>
        <v>230.51644371156775</v>
      </c>
      <c r="J145" s="3">
        <f t="shared" si="201"/>
        <v>24.494897427831781</v>
      </c>
      <c r="K145" s="47">
        <f t="shared" si="202"/>
        <v>0.16179351966526123</v>
      </c>
      <c r="L145" s="3">
        <f t="shared" si="203"/>
        <v>3</v>
      </c>
      <c r="M145" s="47">
        <f t="shared" si="204"/>
        <v>0.34351065746339965</v>
      </c>
      <c r="N145" s="47">
        <f t="shared" si="205"/>
        <v>241.14582385260064</v>
      </c>
      <c r="O145" s="1">
        <f t="shared" si="206"/>
        <v>0.99633389053840926</v>
      </c>
      <c r="P145" s="1">
        <f t="shared" si="207"/>
        <v>8.7333534922992708</v>
      </c>
      <c r="Q145" s="1">
        <f t="shared" si="208"/>
        <v>74.31883535678142</v>
      </c>
      <c r="R145" s="1">
        <f t="shared" si="209"/>
        <v>74.119696560537335</v>
      </c>
      <c r="S145" s="47">
        <f t="shared" si="210"/>
        <v>135.32134033418265</v>
      </c>
      <c r="T145" s="1">
        <f t="shared" si="211"/>
        <v>64.283282806173403</v>
      </c>
      <c r="U145" s="47">
        <f t="shared" si="212"/>
        <v>64.120935444087394</v>
      </c>
      <c r="V145" s="47">
        <f t="shared" si="213"/>
        <v>110.32035470511833</v>
      </c>
      <c r="W145" s="2">
        <f t="shared" si="214"/>
        <v>983.67824936659827</v>
      </c>
      <c r="X145" s="1">
        <f t="shared" si="215"/>
        <v>93.702642866670558</v>
      </c>
      <c r="Y145" s="1">
        <f t="shared" si="216"/>
        <v>10.641077165670902</v>
      </c>
      <c r="Z145" s="2">
        <f t="shared" si="217"/>
        <v>4.1497325583172326</v>
      </c>
      <c r="AA145" s="3">
        <f t="shared" si="218"/>
        <v>1000</v>
      </c>
      <c r="AB145" s="1">
        <f t="shared" si="182"/>
        <v>1.6592570430332687E-2</v>
      </c>
      <c r="AC145" s="1">
        <f t="shared" si="222"/>
        <v>0</v>
      </c>
      <c r="AD145" s="64">
        <f t="shared" si="183"/>
        <v>0</v>
      </c>
      <c r="AE145" s="1">
        <f t="shared" si="221"/>
        <v>12.643728735058318</v>
      </c>
      <c r="AM145" s="1" t="s">
        <v>132</v>
      </c>
      <c r="AN145" s="1">
        <f>AN144</f>
        <v>1000</v>
      </c>
      <c r="AO145" s="1">
        <v>75</v>
      </c>
      <c r="AP145" s="1">
        <v>65</v>
      </c>
      <c r="AQ145" s="1">
        <f>AO145/2+AP145/2</f>
        <v>70</v>
      </c>
      <c r="AR145" s="1">
        <v>745</v>
      </c>
      <c r="AS145" s="1">
        <v>937</v>
      </c>
      <c r="AT145" s="1">
        <v>1117</v>
      </c>
      <c r="AU145" s="1">
        <v>1288</v>
      </c>
      <c r="AV145" s="1">
        <v>1754</v>
      </c>
      <c r="AW145" s="1">
        <v>649</v>
      </c>
      <c r="AX145" s="1">
        <v>966</v>
      </c>
      <c r="AY145" s="1">
        <v>1216</v>
      </c>
      <c r="AZ145" s="1">
        <v>1452</v>
      </c>
      <c r="BA145" s="1">
        <v>1679</v>
      </c>
      <c r="BB145" s="1">
        <v>2313</v>
      </c>
      <c r="BC145" s="1">
        <v>934</v>
      </c>
      <c r="BD145" s="1">
        <v>1379</v>
      </c>
      <c r="BE145" s="1">
        <v>1738</v>
      </c>
      <c r="BF145" s="1">
        <v>2079</v>
      </c>
      <c r="BG145" s="1">
        <v>2406</v>
      </c>
      <c r="BH145" s="1">
        <v>3328</v>
      </c>
      <c r="BJ145" s="1">
        <f t="shared" si="223"/>
        <v>49.666666666666664</v>
      </c>
      <c r="BK145" s="1">
        <f t="shared" si="223"/>
        <v>46.849999999999994</v>
      </c>
      <c r="BL145" s="1">
        <f t="shared" si="223"/>
        <v>44.68</v>
      </c>
      <c r="BM145" s="1">
        <f t="shared" si="223"/>
        <v>42.933333333333337</v>
      </c>
      <c r="BN145" s="1">
        <f t="shared" si="223"/>
        <v>38.977777777777781</v>
      </c>
      <c r="BO145" s="1">
        <f t="shared" si="223"/>
        <v>64.900000000000006</v>
      </c>
      <c r="BP145" s="1">
        <f t="shared" si="223"/>
        <v>64.399999999999991</v>
      </c>
      <c r="BQ145" s="1">
        <f t="shared" si="223"/>
        <v>60.8</v>
      </c>
      <c r="BR145" s="1">
        <f t="shared" si="223"/>
        <v>58.08</v>
      </c>
      <c r="BS145" s="1">
        <f t="shared" si="223"/>
        <v>55.966666666666669</v>
      </c>
      <c r="BT145" s="1">
        <f t="shared" si="224"/>
        <v>51.400000000000006</v>
      </c>
      <c r="BU145" s="1">
        <f t="shared" si="224"/>
        <v>93.399999999999991</v>
      </c>
      <c r="BV145" s="1">
        <f t="shared" si="224"/>
        <v>91.933333333333323</v>
      </c>
      <c r="BW145" s="1">
        <f t="shared" si="224"/>
        <v>86.899999999999991</v>
      </c>
      <c r="BX145" s="1">
        <f t="shared" si="224"/>
        <v>83.16</v>
      </c>
      <c r="BY145" s="1">
        <f t="shared" si="224"/>
        <v>80.2</v>
      </c>
      <c r="BZ145" s="1">
        <f t="shared" si="224"/>
        <v>73.955555555555563</v>
      </c>
    </row>
    <row r="146" spans="1:78" ht="13.5" customHeight="1">
      <c r="A146" s="1">
        <v>7</v>
      </c>
      <c r="B146" s="3">
        <f t="shared" si="193"/>
        <v>1000</v>
      </c>
      <c r="C146" s="1">
        <f t="shared" si="194"/>
        <v>2.5770929535683371E-2</v>
      </c>
      <c r="D146" s="1">
        <f t="shared" si="195"/>
        <v>0.83201189212203841</v>
      </c>
      <c r="E146" s="1">
        <f t="shared" si="196"/>
        <v>74.31883535678142</v>
      </c>
      <c r="F146" s="1">
        <f t="shared" si="197"/>
        <v>20</v>
      </c>
      <c r="G146" s="1">
        <f t="shared" si="198"/>
        <v>987.66203939762761</v>
      </c>
      <c r="H146" s="1">
        <f t="shared" si="199"/>
        <v>65.193916983061186</v>
      </c>
      <c r="I146" s="1">
        <f t="shared" si="200"/>
        <v>232.82047283906391</v>
      </c>
      <c r="J146" s="3">
        <f t="shared" si="201"/>
        <v>26.457513110645905</v>
      </c>
      <c r="K146" s="47">
        <f t="shared" si="202"/>
        <v>0.18756444920094462</v>
      </c>
      <c r="L146" s="3">
        <f t="shared" si="203"/>
        <v>3</v>
      </c>
      <c r="M146" s="47">
        <f t="shared" si="204"/>
        <v>0.34133657725376637</v>
      </c>
      <c r="N146" s="47">
        <f t="shared" si="205"/>
        <v>216.13371421615116</v>
      </c>
      <c r="O146" s="1">
        <f t="shared" si="206"/>
        <v>0.99660289232822197</v>
      </c>
      <c r="P146" s="1">
        <f t="shared" si="207"/>
        <v>8.7889789724165794</v>
      </c>
      <c r="Q146" s="1">
        <f t="shared" si="208"/>
        <v>74.503991283713844</v>
      </c>
      <c r="R146" s="1">
        <f t="shared" si="209"/>
        <v>74.31883535678142</v>
      </c>
      <c r="S146" s="47">
        <f t="shared" si="210"/>
        <v>145.86041169575853</v>
      </c>
      <c r="T146" s="1">
        <f t="shared" si="211"/>
        <v>64.268360671798632</v>
      </c>
      <c r="U146" s="47">
        <f t="shared" si="212"/>
        <v>64.117976284143424</v>
      </c>
      <c r="V146" s="47">
        <f t="shared" si="213"/>
        <v>118.46841232367268</v>
      </c>
      <c r="W146" s="2">
        <f t="shared" si="214"/>
        <v>987.6720393976276</v>
      </c>
      <c r="X146" s="1">
        <f t="shared" si="215"/>
        <v>92.775346328460131</v>
      </c>
      <c r="Y146" s="1">
        <f t="shared" si="216"/>
        <v>11.123368813376104</v>
      </c>
      <c r="Z146" s="2">
        <f t="shared" si="217"/>
        <v>4.0995318962904932</v>
      </c>
      <c r="AA146" s="3">
        <f t="shared" si="218"/>
        <v>1000</v>
      </c>
      <c r="AB146" s="1">
        <f t="shared" si="182"/>
        <v>1.2481836187132611E-2</v>
      </c>
      <c r="AC146" s="1">
        <f t="shared" si="222"/>
        <v>0</v>
      </c>
      <c r="AD146" s="64">
        <f t="shared" si="183"/>
        <v>0</v>
      </c>
      <c r="AE146" s="1">
        <f t="shared" si="221"/>
        <v>12.643728735058318</v>
      </c>
      <c r="AM146" s="1" t="s">
        <v>133</v>
      </c>
      <c r="AN146" s="1">
        <f>AN145</f>
        <v>1000</v>
      </c>
      <c r="AO146" s="1">
        <v>70</v>
      </c>
      <c r="AP146" s="1">
        <v>55</v>
      </c>
      <c r="AQ146" s="1">
        <f>AO146/2+AP146/2</f>
        <v>62.5</v>
      </c>
      <c r="AR146" s="1">
        <v>601</v>
      </c>
      <c r="AS146" s="1">
        <v>756</v>
      </c>
      <c r="AT146" s="1">
        <v>900</v>
      </c>
      <c r="AU146" s="1">
        <v>1037</v>
      </c>
      <c r="AV146" s="1">
        <v>1407</v>
      </c>
      <c r="AW146" s="1">
        <v>524</v>
      </c>
      <c r="AX146" s="1">
        <v>778</v>
      </c>
      <c r="AY146" s="1">
        <v>979</v>
      </c>
      <c r="AZ146" s="1">
        <v>1169</v>
      </c>
      <c r="BA146" s="1">
        <v>1351</v>
      </c>
      <c r="BB146" s="1">
        <v>1855</v>
      </c>
      <c r="BC146" s="1">
        <v>753</v>
      </c>
      <c r="BD146" s="1">
        <v>1117</v>
      </c>
      <c r="BE146" s="1">
        <v>1404</v>
      </c>
      <c r="BF146" s="1">
        <v>1675</v>
      </c>
      <c r="BG146" s="1">
        <v>1934</v>
      </c>
      <c r="BH146" s="1">
        <v>2667</v>
      </c>
      <c r="BJ146" s="1">
        <f t="shared" si="223"/>
        <v>47.13725490196078</v>
      </c>
      <c r="BK146" s="1">
        <f t="shared" si="223"/>
        <v>44.470588235294123</v>
      </c>
      <c r="BL146" s="1">
        <f t="shared" si="223"/>
        <v>42.352941176470587</v>
      </c>
      <c r="BM146" s="1">
        <f t="shared" si="223"/>
        <v>40.666666666666664</v>
      </c>
      <c r="BN146" s="1">
        <f t="shared" si="223"/>
        <v>36.7843137254902</v>
      </c>
      <c r="BO146" s="1">
        <f t="shared" si="223"/>
        <v>61.64705882352942</v>
      </c>
      <c r="BP146" s="1">
        <f t="shared" si="223"/>
        <v>61.019607843137251</v>
      </c>
      <c r="BQ146" s="1">
        <f t="shared" si="223"/>
        <v>57.588235294117652</v>
      </c>
      <c r="BR146" s="1">
        <f t="shared" si="223"/>
        <v>55.011764705882356</v>
      </c>
      <c r="BS146" s="1">
        <f t="shared" si="223"/>
        <v>52.980392156862749</v>
      </c>
      <c r="BT146" s="1">
        <f t="shared" si="224"/>
        <v>48.496732026143789</v>
      </c>
      <c r="BU146" s="1">
        <f t="shared" si="224"/>
        <v>88.588235294117638</v>
      </c>
      <c r="BV146" s="1">
        <f t="shared" si="224"/>
        <v>87.607843137254889</v>
      </c>
      <c r="BW146" s="1">
        <f t="shared" si="224"/>
        <v>82.588235294117666</v>
      </c>
      <c r="BX146" s="1">
        <f t="shared" si="224"/>
        <v>78.82352941176471</v>
      </c>
      <c r="BY146" s="1">
        <f t="shared" si="224"/>
        <v>75.843137254901976</v>
      </c>
      <c r="BZ146" s="1">
        <f t="shared" si="224"/>
        <v>69.725490196078425</v>
      </c>
    </row>
    <row r="147" spans="1:78" ht="13.5" customHeight="1">
      <c r="A147" s="1">
        <v>8</v>
      </c>
      <c r="B147" s="3">
        <f t="shared" si="193"/>
        <v>1000</v>
      </c>
      <c r="C147" s="1">
        <f t="shared" si="194"/>
        <v>2.5535587583639524E-2</v>
      </c>
      <c r="D147" s="1">
        <f t="shared" si="195"/>
        <v>0.83040474978801315</v>
      </c>
      <c r="E147" s="1">
        <f t="shared" si="196"/>
        <v>74.503991283713844</v>
      </c>
      <c r="F147" s="1">
        <f t="shared" si="197"/>
        <v>20</v>
      </c>
      <c r="G147" s="1">
        <f t="shared" si="198"/>
        <v>991.37311573690988</v>
      </c>
      <c r="H147" s="1">
        <f t="shared" si="199"/>
        <v>65.260373244400455</v>
      </c>
      <c r="I147" s="1">
        <f t="shared" si="200"/>
        <v>234.96620081083071</v>
      </c>
      <c r="J147" s="3">
        <f t="shared" si="201"/>
        <v>28.284271247461902</v>
      </c>
      <c r="K147" s="47">
        <f t="shared" si="202"/>
        <v>0.21310003678458414</v>
      </c>
      <c r="L147" s="3">
        <f t="shared" si="203"/>
        <v>3</v>
      </c>
      <c r="M147" s="47">
        <f t="shared" si="204"/>
        <v>0.33933126876526132</v>
      </c>
      <c r="N147" s="47">
        <f t="shared" si="205"/>
        <v>196.43313821318162</v>
      </c>
      <c r="O147" s="1">
        <f t="shared" si="206"/>
        <v>0.99681768426653616</v>
      </c>
      <c r="P147" s="1">
        <f t="shared" si="207"/>
        <v>8.8409182298944149</v>
      </c>
      <c r="Q147" s="1">
        <f t="shared" si="208"/>
        <v>74.677993924052601</v>
      </c>
      <c r="R147" s="1">
        <f t="shared" si="209"/>
        <v>74.503991283713844</v>
      </c>
      <c r="S147" s="47">
        <f t="shared" si="210"/>
        <v>155.73587003857239</v>
      </c>
      <c r="T147" s="1">
        <f t="shared" si="211"/>
        <v>64.254868694271991</v>
      </c>
      <c r="U147" s="47">
        <f t="shared" si="212"/>
        <v>64.11403572934384</v>
      </c>
      <c r="V147" s="47">
        <f t="shared" si="213"/>
        <v>126.04834202802452</v>
      </c>
      <c r="W147" s="2">
        <f t="shared" si="214"/>
        <v>991.38311573690987</v>
      </c>
      <c r="X147" s="1">
        <f t="shared" si="215"/>
        <v>91.928115301102281</v>
      </c>
      <c r="Y147" s="1">
        <f t="shared" si="216"/>
        <v>11.555636241808406</v>
      </c>
      <c r="Z147" s="2">
        <f t="shared" si="217"/>
        <v>4.0553851307514375</v>
      </c>
      <c r="AA147" s="3">
        <f t="shared" si="218"/>
        <v>1000</v>
      </c>
      <c r="AB147" s="1">
        <f t="shared" si="182"/>
        <v>8.6917803282184902E-3</v>
      </c>
      <c r="AC147" s="1">
        <f t="shared" si="222"/>
        <v>0</v>
      </c>
      <c r="AD147" s="64">
        <f t="shared" si="183"/>
        <v>0</v>
      </c>
      <c r="AE147" s="1">
        <f t="shared" si="221"/>
        <v>12.643728735058318</v>
      </c>
      <c r="AM147" s="1" t="s">
        <v>134</v>
      </c>
      <c r="AN147" s="1">
        <f>AN146</f>
        <v>1000</v>
      </c>
      <c r="AO147" s="1">
        <v>55</v>
      </c>
      <c r="AP147" s="1">
        <v>45</v>
      </c>
      <c r="AQ147" s="1">
        <f>AO147/2+AP147/2</f>
        <v>50</v>
      </c>
      <c r="AR147" s="1">
        <v>380</v>
      </c>
      <c r="AS147" s="1">
        <v>476</v>
      </c>
      <c r="AT147" s="1">
        <v>567</v>
      </c>
      <c r="AU147" s="1">
        <v>652</v>
      </c>
      <c r="AV147" s="1">
        <v>877</v>
      </c>
      <c r="AW147" s="1">
        <v>339</v>
      </c>
      <c r="AX147" s="1">
        <v>490</v>
      </c>
      <c r="AY147" s="1">
        <v>616</v>
      </c>
      <c r="AZ147" s="1">
        <v>735</v>
      </c>
      <c r="BA147" s="1">
        <v>849</v>
      </c>
      <c r="BB147" s="1">
        <v>1156</v>
      </c>
      <c r="BC147" s="1">
        <v>485</v>
      </c>
      <c r="BD147" s="1">
        <v>711</v>
      </c>
      <c r="BE147" s="1">
        <v>889</v>
      </c>
      <c r="BF147" s="1">
        <v>1055</v>
      </c>
      <c r="BG147" s="1">
        <v>1211</v>
      </c>
      <c r="BH147" s="1">
        <v>1659</v>
      </c>
      <c r="BJ147" s="1">
        <f t="shared" si="223"/>
        <v>42.222222222222221</v>
      </c>
      <c r="BK147" s="1">
        <f t="shared" si="223"/>
        <v>39.666666666666671</v>
      </c>
      <c r="BL147" s="1">
        <f t="shared" si="223"/>
        <v>37.799999999999997</v>
      </c>
      <c r="BM147" s="1">
        <f t="shared" si="223"/>
        <v>36.222222222222221</v>
      </c>
      <c r="BN147" s="1">
        <f t="shared" si="223"/>
        <v>32.481481481481481</v>
      </c>
      <c r="BO147" s="1">
        <f t="shared" si="223"/>
        <v>56.500000000000007</v>
      </c>
      <c r="BP147" s="1">
        <f t="shared" si="223"/>
        <v>54.444444444444436</v>
      </c>
      <c r="BQ147" s="1">
        <f t="shared" si="223"/>
        <v>51.333333333333329</v>
      </c>
      <c r="BR147" s="1">
        <f t="shared" si="223"/>
        <v>49.000000000000007</v>
      </c>
      <c r="BS147" s="1">
        <f t="shared" si="223"/>
        <v>47.166666666666671</v>
      </c>
      <c r="BT147" s="1">
        <f t="shared" si="224"/>
        <v>42.81481481481481</v>
      </c>
      <c r="BU147" s="1">
        <f t="shared" si="224"/>
        <v>80.833333333333343</v>
      </c>
      <c r="BV147" s="1">
        <f t="shared" si="224"/>
        <v>79</v>
      </c>
      <c r="BW147" s="1">
        <f t="shared" si="224"/>
        <v>74.083333333333343</v>
      </c>
      <c r="BX147" s="1">
        <f t="shared" si="224"/>
        <v>70.333333333333329</v>
      </c>
      <c r="BY147" s="1">
        <f t="shared" si="224"/>
        <v>67.277777777777786</v>
      </c>
      <c r="BZ147" s="1">
        <f t="shared" si="224"/>
        <v>61.444444444444443</v>
      </c>
    </row>
    <row r="148" spans="1:78" ht="13.5" customHeight="1">
      <c r="A148" s="1">
        <v>9</v>
      </c>
      <c r="B148" s="3">
        <f t="shared" si="193"/>
        <v>1000</v>
      </c>
      <c r="C148" s="1">
        <f t="shared" si="194"/>
        <v>2.5317985442178861E-2</v>
      </c>
      <c r="D148" s="1">
        <f t="shared" si="195"/>
        <v>0.82889198330656733</v>
      </c>
      <c r="E148" s="1">
        <f t="shared" si="196"/>
        <v>74.677993924052601</v>
      </c>
      <c r="F148" s="1">
        <f t="shared" si="197"/>
        <v>20</v>
      </c>
      <c r="G148" s="1">
        <f t="shared" si="198"/>
        <v>994.8586171952353</v>
      </c>
      <c r="H148" s="1">
        <f t="shared" si="199"/>
        <v>65.3221508269324</v>
      </c>
      <c r="I148" s="1">
        <f t="shared" si="200"/>
        <v>236.98568014831915</v>
      </c>
      <c r="J148" s="3">
        <f t="shared" si="201"/>
        <v>30</v>
      </c>
      <c r="K148" s="47">
        <f t="shared" si="202"/>
        <v>0.238418022226763</v>
      </c>
      <c r="L148" s="3">
        <f t="shared" si="203"/>
        <v>3</v>
      </c>
      <c r="M148" s="47">
        <f t="shared" si="204"/>
        <v>0.33746358418508565</v>
      </c>
      <c r="N148" s="47">
        <f t="shared" si="205"/>
        <v>180.4456658880153</v>
      </c>
      <c r="O148" s="1">
        <f t="shared" si="206"/>
        <v>0.99699420753621948</v>
      </c>
      <c r="P148" s="1">
        <f t="shared" si="207"/>
        <v>8.8898480920377381</v>
      </c>
      <c r="Q148" s="1">
        <f t="shared" si="208"/>
        <v>74.842840119576351</v>
      </c>
      <c r="R148" s="1">
        <f t="shared" si="209"/>
        <v>74.677993924052601</v>
      </c>
      <c r="S148" s="47">
        <f t="shared" si="210"/>
        <v>165.06967641518332</v>
      </c>
      <c r="T148" s="1">
        <f t="shared" si="211"/>
        <v>64.242327375116034</v>
      </c>
      <c r="U148" s="47">
        <f t="shared" si="212"/>
        <v>64.1093441209118</v>
      </c>
      <c r="V148" s="47">
        <f t="shared" si="213"/>
        <v>133.16353871794021</v>
      </c>
      <c r="W148" s="2">
        <f t="shared" si="214"/>
        <v>994.86861719523529</v>
      </c>
      <c r="X148" s="1">
        <f t="shared" si="215"/>
        <v>91.144747591843895</v>
      </c>
      <c r="Y148" s="1">
        <f t="shared" si="216"/>
        <v>11.948502518234768</v>
      </c>
      <c r="Z148" s="2">
        <f t="shared" si="217"/>
        <v>4.0158696646836525</v>
      </c>
      <c r="AA148" s="3">
        <f t="shared" si="218"/>
        <v>1000</v>
      </c>
      <c r="AB148" s="1">
        <f t="shared" si="182"/>
        <v>5.1578497060560391E-3</v>
      </c>
      <c r="AC148" s="1">
        <f t="shared" si="222"/>
        <v>0</v>
      </c>
      <c r="AD148" s="64">
        <f t="shared" si="183"/>
        <v>0</v>
      </c>
      <c r="AE148" s="1">
        <f t="shared" si="221"/>
        <v>12.643728735058318</v>
      </c>
      <c r="AM148" s="1">
        <v>1100</v>
      </c>
    </row>
    <row r="149" spans="1:78" ht="13.5" customHeight="1">
      <c r="A149" s="1">
        <v>10</v>
      </c>
      <c r="B149" s="3">
        <f t="shared" si="193"/>
        <v>1000</v>
      </c>
      <c r="C149" s="1">
        <f t="shared" si="194"/>
        <v>2.5114949462020208E-2</v>
      </c>
      <c r="D149" s="1">
        <f t="shared" si="195"/>
        <v>0.82745668703237008</v>
      </c>
      <c r="E149" s="1">
        <f t="shared" si="196"/>
        <v>74.842840119576351</v>
      </c>
      <c r="F149" s="1">
        <f t="shared" si="197"/>
        <v>20</v>
      </c>
      <c r="G149" s="1">
        <f t="shared" si="198"/>
        <v>998.15886640336146</v>
      </c>
      <c r="H149" s="1">
        <f t="shared" si="199"/>
        <v>65.380074792790595</v>
      </c>
      <c r="I149" s="1">
        <f t="shared" si="200"/>
        <v>238.90153587899633</v>
      </c>
      <c r="J149" s="3">
        <f t="shared" si="201"/>
        <v>31.622776601683793</v>
      </c>
      <c r="K149" s="47">
        <f t="shared" si="202"/>
        <v>0.2635329716887832</v>
      </c>
      <c r="L149" s="3">
        <f t="shared" si="203"/>
        <v>3</v>
      </c>
      <c r="M149" s="47">
        <f t="shared" si="204"/>
        <v>0.33571079196023335</v>
      </c>
      <c r="N149" s="47">
        <f t="shared" si="205"/>
        <v>167.16744252375887</v>
      </c>
      <c r="O149" s="1">
        <f t="shared" si="206"/>
        <v>0.99714254762866106</v>
      </c>
      <c r="P149" s="1">
        <f t="shared" si="207"/>
        <v>8.9362632118045386</v>
      </c>
      <c r="Q149" s="1">
        <f t="shared" si="208"/>
        <v>75</v>
      </c>
      <c r="R149" s="1">
        <f t="shared" si="209"/>
        <v>74.842840119576351</v>
      </c>
      <c r="S149" s="47">
        <f t="shared" si="210"/>
        <v>173.95060333684387</v>
      </c>
      <c r="T149" s="1">
        <f t="shared" si="211"/>
        <v>64.230445994425239</v>
      </c>
      <c r="U149" s="47">
        <f t="shared" si="212"/>
        <v>64.104059601633082</v>
      </c>
      <c r="V149" s="47">
        <f t="shared" si="213"/>
        <v>139.88932302887198</v>
      </c>
      <c r="W149" s="2">
        <f t="shared" si="214"/>
        <v>998.16886640336145</v>
      </c>
      <c r="X149" s="1">
        <f t="shared" si="215"/>
        <v>90.413818063272743</v>
      </c>
      <c r="Y149" s="1">
        <f t="shared" si="216"/>
        <v>12.3093938500108</v>
      </c>
      <c r="Z149" s="2">
        <f t="shared" si="217"/>
        <v>3.9800193120652883</v>
      </c>
      <c r="AA149" s="3">
        <f t="shared" si="218"/>
        <v>1000</v>
      </c>
      <c r="AB149" s="1">
        <f t="shared" si="182"/>
        <v>1.8344927980338266E-3</v>
      </c>
      <c r="AC149" s="1">
        <f t="shared" si="222"/>
        <v>0</v>
      </c>
      <c r="AD149" s="64">
        <f t="shared" si="183"/>
        <v>0</v>
      </c>
      <c r="AE149" s="1">
        <f t="shared" si="221"/>
        <v>12.643728735058318</v>
      </c>
      <c r="AM149" s="1" t="s">
        <v>131</v>
      </c>
      <c r="AN149" s="1">
        <f>AM148</f>
        <v>1100</v>
      </c>
      <c r="AO149" s="1">
        <v>90</v>
      </c>
      <c r="AP149" s="1">
        <v>70</v>
      </c>
      <c r="AQ149" s="1">
        <f>AO149/2+AP149/2</f>
        <v>80</v>
      </c>
      <c r="AR149" s="1">
        <v>1042</v>
      </c>
      <c r="AS149" s="1">
        <v>1312</v>
      </c>
      <c r="AT149" s="1">
        <v>1565</v>
      </c>
      <c r="AU149" s="1">
        <v>1806</v>
      </c>
      <c r="AV149" s="1">
        <v>2471</v>
      </c>
      <c r="AW149" s="1">
        <v>891</v>
      </c>
      <c r="AX149" s="1">
        <v>1354</v>
      </c>
      <c r="AY149" s="1">
        <v>1705</v>
      </c>
      <c r="AZ149" s="1">
        <v>2037</v>
      </c>
      <c r="BA149" s="1">
        <v>2356</v>
      </c>
      <c r="BB149" s="1">
        <v>3259</v>
      </c>
      <c r="BC149" s="1">
        <v>1284</v>
      </c>
      <c r="BD149" s="1">
        <v>1922</v>
      </c>
      <c r="BE149" s="1">
        <v>2429</v>
      </c>
      <c r="BF149" s="1">
        <v>2914</v>
      </c>
      <c r="BG149" s="1">
        <v>3381</v>
      </c>
      <c r="BH149" s="1">
        <v>4693</v>
      </c>
      <c r="BJ149" s="1">
        <f t="shared" ref="BJ149:BS152" si="225">AR149/($AQ149-20)/AR$132/$AN149*1000000</f>
        <v>52.62626262626263</v>
      </c>
      <c r="BK149" s="1">
        <f t="shared" si="225"/>
        <v>49.696969696969703</v>
      </c>
      <c r="BL149" s="1">
        <f t="shared" si="225"/>
        <v>47.424242424242422</v>
      </c>
      <c r="BM149" s="1">
        <f t="shared" si="225"/>
        <v>45.606060606060616</v>
      </c>
      <c r="BN149" s="1">
        <f t="shared" si="225"/>
        <v>41.599326599326595</v>
      </c>
      <c r="BO149" s="1">
        <f t="shared" si="225"/>
        <v>67.5</v>
      </c>
      <c r="BP149" s="1">
        <f t="shared" si="225"/>
        <v>68.383838383838381</v>
      </c>
      <c r="BQ149" s="1">
        <f t="shared" si="225"/>
        <v>64.583333333333329</v>
      </c>
      <c r="BR149" s="1">
        <f t="shared" si="225"/>
        <v>61.727272727272734</v>
      </c>
      <c r="BS149" s="1">
        <f t="shared" si="225"/>
        <v>59.494949494949495</v>
      </c>
      <c r="BT149" s="1">
        <f t="shared" ref="BT149:BZ152" si="226">BB149/($AQ149-20)/BB$132/$AN149*1000000</f>
        <v>54.865319865319869</v>
      </c>
      <c r="BU149" s="1">
        <f t="shared" si="226"/>
        <v>97.272727272727266</v>
      </c>
      <c r="BV149" s="1">
        <f t="shared" si="226"/>
        <v>97.070707070707073</v>
      </c>
      <c r="BW149" s="1">
        <f t="shared" si="226"/>
        <v>92.007575757575765</v>
      </c>
      <c r="BX149" s="1">
        <f t="shared" si="226"/>
        <v>88.303030303030312</v>
      </c>
      <c r="BY149" s="1">
        <f t="shared" si="226"/>
        <v>85.378787878787875</v>
      </c>
      <c r="BZ149" s="1">
        <f t="shared" si="226"/>
        <v>79.006734006734007</v>
      </c>
    </row>
    <row r="150" spans="1:78" ht="13.5" customHeight="1">
      <c r="K150" s="47"/>
      <c r="L150" s="47"/>
      <c r="M150" s="47"/>
      <c r="N150" s="47">
        <f>SUM(N140:N149)</f>
        <v>3321.8643675291592</v>
      </c>
      <c r="O150" s="2" t="s">
        <v>46</v>
      </c>
      <c r="P150" s="2"/>
      <c r="Q150" s="2"/>
      <c r="R150" s="49">
        <f>R130</f>
        <v>75</v>
      </c>
      <c r="S150" s="50" t="s">
        <v>45</v>
      </c>
      <c r="T150" s="2"/>
      <c r="U150" s="11">
        <f>U149</f>
        <v>64.104059601633082</v>
      </c>
      <c r="V150" s="47"/>
      <c r="W150" s="2"/>
      <c r="Y150" s="1">
        <f>N151</f>
        <v>12.643728735058318</v>
      </c>
      <c r="AE150" s="1">
        <f t="shared" si="221"/>
        <v>12.643728735058318</v>
      </c>
      <c r="AM150" s="1" t="s">
        <v>132</v>
      </c>
      <c r="AN150" s="1">
        <f>AN149</f>
        <v>1100</v>
      </c>
      <c r="AO150" s="1">
        <v>75</v>
      </c>
      <c r="AP150" s="1">
        <v>65</v>
      </c>
      <c r="AQ150" s="1">
        <f>AO150/2+AP150/2</f>
        <v>70</v>
      </c>
      <c r="AR150" s="1">
        <v>820</v>
      </c>
      <c r="AS150" s="1">
        <v>1031</v>
      </c>
      <c r="AT150" s="1">
        <v>1229</v>
      </c>
      <c r="AU150" s="1">
        <v>1417</v>
      </c>
      <c r="AV150" s="1">
        <v>1929</v>
      </c>
      <c r="AW150" s="1">
        <v>714</v>
      </c>
      <c r="AX150" s="1">
        <v>1063</v>
      </c>
      <c r="AY150" s="1">
        <v>1338</v>
      </c>
      <c r="AZ150" s="1">
        <v>1597</v>
      </c>
      <c r="BA150" s="1">
        <v>1847</v>
      </c>
      <c r="BB150" s="1">
        <v>2544</v>
      </c>
      <c r="BC150" s="1">
        <v>1027</v>
      </c>
      <c r="BD150" s="1">
        <v>1517</v>
      </c>
      <c r="BE150" s="1">
        <v>1912</v>
      </c>
      <c r="BF150" s="1">
        <v>2287</v>
      </c>
      <c r="BG150" s="1">
        <v>2647</v>
      </c>
      <c r="BH150" s="1">
        <v>3661</v>
      </c>
      <c r="BJ150" s="1">
        <f t="shared" si="225"/>
        <v>49.696969696969695</v>
      </c>
      <c r="BK150" s="1">
        <f t="shared" si="225"/>
        <v>46.863636363636367</v>
      </c>
      <c r="BL150" s="1">
        <f t="shared" si="225"/>
        <v>44.690909090909088</v>
      </c>
      <c r="BM150" s="1">
        <f t="shared" si="225"/>
        <v>42.939393939393938</v>
      </c>
      <c r="BN150" s="1">
        <f t="shared" si="225"/>
        <v>38.969696969696969</v>
      </c>
      <c r="BO150" s="1">
        <f t="shared" si="225"/>
        <v>64.909090909090892</v>
      </c>
      <c r="BP150" s="1">
        <f t="shared" si="225"/>
        <v>64.424242424242422</v>
      </c>
      <c r="BQ150" s="1">
        <f t="shared" si="225"/>
        <v>60.81818181818182</v>
      </c>
      <c r="BR150" s="1">
        <f t="shared" si="225"/>
        <v>58.072727272727278</v>
      </c>
      <c r="BS150" s="1">
        <f t="shared" si="225"/>
        <v>55.969696969696969</v>
      </c>
      <c r="BT150" s="1">
        <f t="shared" si="226"/>
        <v>51.393939393939398</v>
      </c>
      <c r="BU150" s="1">
        <f t="shared" si="226"/>
        <v>93.363636363636374</v>
      </c>
      <c r="BV150" s="1">
        <f t="shared" si="226"/>
        <v>91.939393939393938</v>
      </c>
      <c r="BW150" s="1">
        <f t="shared" si="226"/>
        <v>86.909090909090921</v>
      </c>
      <c r="BX150" s="1">
        <f t="shared" si="226"/>
        <v>83.163636363636357</v>
      </c>
      <c r="BY150" s="1">
        <f t="shared" si="226"/>
        <v>80.212121212121218</v>
      </c>
      <c r="BZ150" s="1">
        <f t="shared" si="226"/>
        <v>73.959595959595958</v>
      </c>
    </row>
    <row r="151" spans="1:78" ht="13.5" customHeight="1">
      <c r="K151" s="47"/>
      <c r="L151" s="2" t="s">
        <v>44</v>
      </c>
      <c r="M151" s="2"/>
      <c r="N151" s="47">
        <f>N150*2/1000+Y151</f>
        <v>12.643728735058318</v>
      </c>
      <c r="O151" s="2" t="s">
        <v>1</v>
      </c>
      <c r="P151" s="1">
        <f>SUM(P140:P149)</f>
        <v>86.77757897266676</v>
      </c>
      <c r="Q151" s="1" t="s">
        <v>43</v>
      </c>
      <c r="S151" s="47"/>
      <c r="U151" s="47"/>
      <c r="V151" s="47"/>
      <c r="W151" s="2"/>
      <c r="Y151" s="3">
        <f>Y131</f>
        <v>6</v>
      </c>
      <c r="Z151" s="3" t="s">
        <v>42</v>
      </c>
      <c r="AE151" s="1">
        <f>N151</f>
        <v>12.643728735058318</v>
      </c>
      <c r="AM151" s="1" t="s">
        <v>133</v>
      </c>
      <c r="AN151" s="1">
        <f>AN150</f>
        <v>1100</v>
      </c>
      <c r="AO151" s="1">
        <v>70</v>
      </c>
      <c r="AP151" s="1">
        <v>55</v>
      </c>
      <c r="AQ151" s="1">
        <f>AO151/2+AP151/2</f>
        <v>62.5</v>
      </c>
      <c r="AR151" s="1">
        <v>661</v>
      </c>
      <c r="AS151" s="1">
        <v>831</v>
      </c>
      <c r="AT151" s="1">
        <v>990</v>
      </c>
      <c r="AU151" s="1">
        <v>1141</v>
      </c>
      <c r="AV151" s="1">
        <v>1547</v>
      </c>
      <c r="AW151" s="1">
        <v>577</v>
      </c>
      <c r="AX151" s="1">
        <v>856</v>
      </c>
      <c r="AY151" s="1">
        <v>1077</v>
      </c>
      <c r="AZ151" s="1">
        <v>1286</v>
      </c>
      <c r="BA151" s="1">
        <v>1487</v>
      </c>
      <c r="BB151" s="1">
        <v>2041</v>
      </c>
      <c r="BC151" s="1">
        <v>829</v>
      </c>
      <c r="BD151" s="1">
        <v>1228</v>
      </c>
      <c r="BE151" s="1">
        <v>1544</v>
      </c>
      <c r="BF151" s="1">
        <v>1843</v>
      </c>
      <c r="BG151" s="1">
        <v>2128</v>
      </c>
      <c r="BH151" s="1">
        <v>2934</v>
      </c>
      <c r="BJ151" s="1">
        <f t="shared" si="225"/>
        <v>47.130124777183596</v>
      </c>
      <c r="BK151" s="1">
        <f t="shared" si="225"/>
        <v>44.438502673796798</v>
      </c>
      <c r="BL151" s="1">
        <f t="shared" si="225"/>
        <v>42.352941176470587</v>
      </c>
      <c r="BM151" s="1">
        <f t="shared" si="225"/>
        <v>40.677361853832444</v>
      </c>
      <c r="BN151" s="1">
        <f t="shared" si="225"/>
        <v>36.767676767676768</v>
      </c>
      <c r="BO151" s="1">
        <f t="shared" si="225"/>
        <v>61.711229946524057</v>
      </c>
      <c r="BP151" s="1">
        <f t="shared" si="225"/>
        <v>61.033868092691613</v>
      </c>
      <c r="BQ151" s="1">
        <f t="shared" si="225"/>
        <v>57.593582887700535</v>
      </c>
      <c r="BR151" s="1">
        <f t="shared" si="225"/>
        <v>55.01604278074867</v>
      </c>
      <c r="BS151" s="1">
        <f t="shared" si="225"/>
        <v>53.012477718360067</v>
      </c>
      <c r="BT151" s="1">
        <f t="shared" si="226"/>
        <v>48.508615567439094</v>
      </c>
      <c r="BU151" s="1">
        <f t="shared" si="226"/>
        <v>88.663101604278083</v>
      </c>
      <c r="BV151" s="1">
        <f t="shared" si="226"/>
        <v>87.557932263814621</v>
      </c>
      <c r="BW151" s="1">
        <f t="shared" si="226"/>
        <v>82.566844919786092</v>
      </c>
      <c r="BX151" s="1">
        <f t="shared" si="226"/>
        <v>78.84491978609627</v>
      </c>
      <c r="BY151" s="1">
        <f t="shared" si="226"/>
        <v>75.864527629233507</v>
      </c>
      <c r="BZ151" s="1">
        <f t="shared" si="226"/>
        <v>69.732620320855617</v>
      </c>
    </row>
    <row r="152" spans="1:78" ht="13.5" customHeight="1">
      <c r="L152" s="60" t="s">
        <v>41</v>
      </c>
      <c r="N152" s="3">
        <f>N132</f>
        <v>15</v>
      </c>
      <c r="O152" s="1" t="s">
        <v>1</v>
      </c>
      <c r="AM152" s="1" t="s">
        <v>134</v>
      </c>
      <c r="AN152" s="1">
        <f>AN151</f>
        <v>1100</v>
      </c>
      <c r="AO152" s="1">
        <v>55</v>
      </c>
      <c r="AP152" s="1">
        <v>45</v>
      </c>
      <c r="AQ152" s="1">
        <f>AO152/2+AP152/2</f>
        <v>50</v>
      </c>
      <c r="AR152" s="1">
        <v>418</v>
      </c>
      <c r="AS152" s="1">
        <v>524</v>
      </c>
      <c r="AT152" s="1">
        <v>624</v>
      </c>
      <c r="AU152" s="1">
        <v>718</v>
      </c>
      <c r="AV152" s="1">
        <v>964</v>
      </c>
      <c r="AW152" s="1">
        <v>373</v>
      </c>
      <c r="AX152" s="1">
        <v>539</v>
      </c>
      <c r="AY152" s="1">
        <v>678</v>
      </c>
      <c r="AZ152" s="1">
        <v>808</v>
      </c>
      <c r="BA152" s="1">
        <v>934</v>
      </c>
      <c r="BB152" s="1">
        <v>1272</v>
      </c>
      <c r="BC152" s="1">
        <v>534</v>
      </c>
      <c r="BD152" s="1">
        <v>782</v>
      </c>
      <c r="BE152" s="1">
        <v>978</v>
      </c>
      <c r="BF152" s="1">
        <v>1160</v>
      </c>
      <c r="BG152" s="1">
        <v>1332</v>
      </c>
      <c r="BH152" s="1">
        <v>1825</v>
      </c>
      <c r="BJ152" s="1">
        <f t="shared" si="225"/>
        <v>42.222222222222229</v>
      </c>
      <c r="BK152" s="1">
        <f t="shared" si="225"/>
        <v>39.696969696969688</v>
      </c>
      <c r="BL152" s="1">
        <f t="shared" si="225"/>
        <v>37.81818181818182</v>
      </c>
      <c r="BM152" s="1">
        <f t="shared" si="225"/>
        <v>36.262626262626263</v>
      </c>
      <c r="BN152" s="1">
        <f t="shared" si="225"/>
        <v>32.457912457912457</v>
      </c>
      <c r="BO152" s="1">
        <f t="shared" si="225"/>
        <v>56.515151515151516</v>
      </c>
      <c r="BP152" s="1">
        <f t="shared" si="225"/>
        <v>54.444444444444436</v>
      </c>
      <c r="BQ152" s="1">
        <f t="shared" si="225"/>
        <v>51.36363636363636</v>
      </c>
      <c r="BR152" s="1">
        <f t="shared" si="225"/>
        <v>48.969696969696969</v>
      </c>
      <c r="BS152" s="1">
        <f t="shared" si="225"/>
        <v>47.171717171717169</v>
      </c>
      <c r="BT152" s="1">
        <f t="shared" si="226"/>
        <v>42.828282828282823</v>
      </c>
      <c r="BU152" s="1">
        <f t="shared" si="226"/>
        <v>80.909090909090921</v>
      </c>
      <c r="BV152" s="1">
        <f t="shared" si="226"/>
        <v>78.98989898989899</v>
      </c>
      <c r="BW152" s="1">
        <f t="shared" si="226"/>
        <v>74.090909090909093</v>
      </c>
      <c r="BX152" s="1">
        <f t="shared" si="226"/>
        <v>70.303030303030283</v>
      </c>
      <c r="BY152" s="1">
        <f t="shared" si="226"/>
        <v>67.272727272727266</v>
      </c>
      <c r="BZ152" s="1">
        <f t="shared" si="226"/>
        <v>61.447811447811446</v>
      </c>
    </row>
    <row r="153" spans="1:78" ht="13.5" customHeight="1">
      <c r="AM153" s="1">
        <v>1200</v>
      </c>
    </row>
    <row r="154" spans="1:78" ht="13.5" customHeight="1">
      <c r="AM154" s="1" t="s">
        <v>131</v>
      </c>
      <c r="AN154" s="1">
        <f>AM153</f>
        <v>1200</v>
      </c>
      <c r="AO154" s="1">
        <v>90</v>
      </c>
      <c r="AP154" s="1">
        <v>70</v>
      </c>
      <c r="AQ154" s="1">
        <f>AO154/2+AP154/2</f>
        <v>80</v>
      </c>
      <c r="AR154" s="1">
        <v>1137</v>
      </c>
      <c r="AS154" s="1">
        <v>1431</v>
      </c>
      <c r="AT154" s="1">
        <v>1708</v>
      </c>
      <c r="AU154" s="1">
        <v>1970</v>
      </c>
      <c r="AV154" s="1">
        <v>2696</v>
      </c>
      <c r="AW154" s="1">
        <v>972</v>
      </c>
      <c r="AX154" s="1">
        <v>1477</v>
      </c>
      <c r="AY154" s="1">
        <v>1860</v>
      </c>
      <c r="AZ154" s="1">
        <v>2222</v>
      </c>
      <c r="BA154" s="1">
        <v>2570</v>
      </c>
      <c r="BB154" s="1">
        <v>3555</v>
      </c>
      <c r="BC154" s="1">
        <v>1401</v>
      </c>
      <c r="BD154" s="1">
        <v>2097</v>
      </c>
      <c r="BE154" s="1">
        <v>2650</v>
      </c>
      <c r="BF154" s="1">
        <v>3178</v>
      </c>
      <c r="BG154" s="1">
        <v>3688</v>
      </c>
      <c r="BH154" s="1">
        <v>5120</v>
      </c>
      <c r="BJ154" s="1">
        <f t="shared" ref="BJ154:BS157" si="227">AR154/($AQ154-20)/AR$132/$AN154*1000000</f>
        <v>52.638888888888886</v>
      </c>
      <c r="BK154" s="1">
        <f t="shared" si="227"/>
        <v>49.6875</v>
      </c>
      <c r="BL154" s="1">
        <f t="shared" si="227"/>
        <v>47.444444444444436</v>
      </c>
      <c r="BM154" s="1">
        <f t="shared" si="227"/>
        <v>45.601851851851855</v>
      </c>
      <c r="BN154" s="1">
        <f t="shared" si="227"/>
        <v>41.604938271604929</v>
      </c>
      <c r="BO154" s="1">
        <f t="shared" si="227"/>
        <v>67.5</v>
      </c>
      <c r="BP154" s="1">
        <f t="shared" si="227"/>
        <v>68.379629629629633</v>
      </c>
      <c r="BQ154" s="1">
        <f t="shared" si="227"/>
        <v>64.583333333333329</v>
      </c>
      <c r="BR154" s="1">
        <f t="shared" si="227"/>
        <v>61.722222222222221</v>
      </c>
      <c r="BS154" s="1">
        <f t="shared" si="227"/>
        <v>59.49074074074074</v>
      </c>
      <c r="BT154" s="1">
        <f t="shared" ref="BT154:BZ157" si="228">BB154/($AQ154-20)/BB$132/$AN154*1000000</f>
        <v>54.861111111111107</v>
      </c>
      <c r="BU154" s="1">
        <f t="shared" si="228"/>
        <v>97.291666666666671</v>
      </c>
      <c r="BV154" s="1">
        <f t="shared" si="228"/>
        <v>97.083333333333343</v>
      </c>
      <c r="BW154" s="1">
        <f t="shared" si="228"/>
        <v>92.013888888888886</v>
      </c>
      <c r="BX154" s="1">
        <f t="shared" si="228"/>
        <v>88.277777777777786</v>
      </c>
      <c r="BY154" s="1">
        <f t="shared" si="228"/>
        <v>85.370370370370381</v>
      </c>
      <c r="BZ154" s="1">
        <f t="shared" si="228"/>
        <v>79.012345679012341</v>
      </c>
    </row>
    <row r="155" spans="1:78" ht="13.5" customHeight="1" thickBot="1">
      <c r="AM155" s="1" t="s">
        <v>132</v>
      </c>
      <c r="AN155" s="1">
        <f>AN154</f>
        <v>1200</v>
      </c>
      <c r="AO155" s="1">
        <v>75</v>
      </c>
      <c r="AP155" s="1">
        <v>65</v>
      </c>
      <c r="AQ155" s="1">
        <f>AO155/2+AP155/2</f>
        <v>70</v>
      </c>
      <c r="AR155" s="1">
        <v>894</v>
      </c>
      <c r="AS155" s="1">
        <v>1124</v>
      </c>
      <c r="AT155" s="1">
        <v>1340</v>
      </c>
      <c r="AU155" s="1">
        <v>1546</v>
      </c>
      <c r="AV155" s="1">
        <v>2105</v>
      </c>
      <c r="AW155" s="1">
        <v>779</v>
      </c>
      <c r="AX155" s="1">
        <v>1159</v>
      </c>
      <c r="AY155" s="1">
        <v>1459</v>
      </c>
      <c r="AZ155" s="1">
        <v>1742</v>
      </c>
      <c r="BA155" s="1">
        <v>2015</v>
      </c>
      <c r="BB155" s="1">
        <v>2776</v>
      </c>
      <c r="BC155" s="1">
        <v>1121</v>
      </c>
      <c r="BD155" s="1">
        <v>1655</v>
      </c>
      <c r="BE155" s="1">
        <v>2086</v>
      </c>
      <c r="BF155" s="1">
        <v>2495</v>
      </c>
      <c r="BG155" s="1">
        <v>2887</v>
      </c>
      <c r="BH155" s="1">
        <v>3994</v>
      </c>
      <c r="BJ155" s="1">
        <f t="shared" si="227"/>
        <v>49.666666666666664</v>
      </c>
      <c r="BK155" s="1">
        <f t="shared" si="227"/>
        <v>46.833333333333329</v>
      </c>
      <c r="BL155" s="1">
        <f t="shared" si="227"/>
        <v>44.666666666666671</v>
      </c>
      <c r="BM155" s="1">
        <f t="shared" si="227"/>
        <v>42.944444444444443</v>
      </c>
      <c r="BN155" s="1">
        <f t="shared" si="227"/>
        <v>38.981481481481481</v>
      </c>
      <c r="BO155" s="1">
        <f t="shared" si="227"/>
        <v>64.916666666666671</v>
      </c>
      <c r="BP155" s="1">
        <f t="shared" si="227"/>
        <v>64.388888888888886</v>
      </c>
      <c r="BQ155" s="1">
        <f t="shared" si="227"/>
        <v>60.791666666666671</v>
      </c>
      <c r="BR155" s="1">
        <f t="shared" si="227"/>
        <v>58.06666666666667</v>
      </c>
      <c r="BS155" s="1">
        <f t="shared" si="227"/>
        <v>55.972222222222221</v>
      </c>
      <c r="BT155" s="1">
        <f t="shared" si="228"/>
        <v>51.407407407407412</v>
      </c>
      <c r="BU155" s="1">
        <f t="shared" si="228"/>
        <v>93.416666666666671</v>
      </c>
      <c r="BV155" s="1">
        <f t="shared" si="228"/>
        <v>91.944444444444443</v>
      </c>
      <c r="BW155" s="1">
        <f t="shared" si="228"/>
        <v>86.916666666666671</v>
      </c>
      <c r="BX155" s="1">
        <f t="shared" si="228"/>
        <v>83.166666666666671</v>
      </c>
      <c r="BY155" s="1">
        <f t="shared" si="228"/>
        <v>80.194444444444443</v>
      </c>
      <c r="BZ155" s="1">
        <f t="shared" si="228"/>
        <v>73.962962962962962</v>
      </c>
    </row>
    <row r="156" spans="1:78" ht="13.5" customHeight="1">
      <c r="B156" s="14" t="s">
        <v>40</v>
      </c>
      <c r="C156" s="15"/>
      <c r="D156" s="15"/>
      <c r="E156" s="15"/>
      <c r="F156" s="15"/>
      <c r="G156" s="15"/>
      <c r="H156" s="15" t="s">
        <v>39</v>
      </c>
      <c r="I156" s="16"/>
      <c r="J156" s="14" t="s">
        <v>38</v>
      </c>
      <c r="K156" s="15"/>
      <c r="L156" s="15"/>
      <c r="M156" s="15"/>
      <c r="N156" s="15" t="s">
        <v>37</v>
      </c>
      <c r="O156" s="15"/>
      <c r="P156" s="15"/>
      <c r="Q156" s="15"/>
      <c r="R156" s="15"/>
      <c r="S156" s="16"/>
      <c r="T156" s="14" t="s">
        <v>36</v>
      </c>
      <c r="U156" s="15"/>
      <c r="V156" s="16"/>
      <c r="W156" s="14"/>
      <c r="X156" s="15"/>
      <c r="Y156" s="15"/>
      <c r="Z156" s="16"/>
      <c r="AM156" s="1" t="s">
        <v>133</v>
      </c>
      <c r="AN156" s="1">
        <f>AN155</f>
        <v>1200</v>
      </c>
      <c r="AO156" s="1">
        <v>70</v>
      </c>
      <c r="AP156" s="1">
        <v>55</v>
      </c>
      <c r="AQ156" s="1">
        <f>AO156/2+AP156/2</f>
        <v>62.5</v>
      </c>
      <c r="AR156" s="1">
        <v>721</v>
      </c>
      <c r="AS156" s="1">
        <v>907</v>
      </c>
      <c r="AT156" s="1">
        <v>1080</v>
      </c>
      <c r="AU156" s="1">
        <v>1245</v>
      </c>
      <c r="AV156" s="1">
        <v>1688</v>
      </c>
      <c r="AW156" s="1">
        <v>629</v>
      </c>
      <c r="AX156" s="1">
        <v>934</v>
      </c>
      <c r="AY156" s="1">
        <v>1175</v>
      </c>
      <c r="AZ156" s="1">
        <v>1403</v>
      </c>
      <c r="BA156" s="1">
        <v>1622</v>
      </c>
      <c r="BB156" s="1">
        <v>2226</v>
      </c>
      <c r="BC156" s="1">
        <v>904</v>
      </c>
      <c r="BD156" s="1">
        <v>1340</v>
      </c>
      <c r="BE156" s="1">
        <v>1685</v>
      </c>
      <c r="BF156" s="1">
        <v>2010</v>
      </c>
      <c r="BG156" s="1">
        <v>2321</v>
      </c>
      <c r="BH156" s="1">
        <v>3200</v>
      </c>
      <c r="BJ156" s="1">
        <f t="shared" si="227"/>
        <v>47.124183006535951</v>
      </c>
      <c r="BK156" s="1">
        <f t="shared" si="227"/>
        <v>44.460784313725483</v>
      </c>
      <c r="BL156" s="1">
        <f t="shared" si="227"/>
        <v>42.352941176470587</v>
      </c>
      <c r="BM156" s="1">
        <f t="shared" si="227"/>
        <v>40.686274509803923</v>
      </c>
      <c r="BN156" s="1">
        <f t="shared" si="227"/>
        <v>36.775599128540307</v>
      </c>
      <c r="BO156" s="1">
        <f t="shared" si="227"/>
        <v>61.666666666666671</v>
      </c>
      <c r="BP156" s="1">
        <f t="shared" si="227"/>
        <v>61.045751633986924</v>
      </c>
      <c r="BQ156" s="1">
        <f t="shared" si="227"/>
        <v>57.598039215686278</v>
      </c>
      <c r="BR156" s="1">
        <f t="shared" si="227"/>
        <v>55.019607843137265</v>
      </c>
      <c r="BS156" s="1">
        <f t="shared" si="227"/>
        <v>53.006535947712422</v>
      </c>
      <c r="BT156" s="1">
        <f t="shared" si="228"/>
        <v>48.496732026143789</v>
      </c>
      <c r="BU156" s="1">
        <f t="shared" si="228"/>
        <v>88.627450980392155</v>
      </c>
      <c r="BV156" s="1">
        <f t="shared" si="228"/>
        <v>87.58169934640523</v>
      </c>
      <c r="BW156" s="1">
        <f t="shared" si="228"/>
        <v>82.598039215686285</v>
      </c>
      <c r="BX156" s="1">
        <f t="shared" si="228"/>
        <v>78.82352941176471</v>
      </c>
      <c r="BY156" s="1">
        <f t="shared" si="228"/>
        <v>75.849673202614383</v>
      </c>
      <c r="BZ156" s="1">
        <f t="shared" si="228"/>
        <v>69.716775599128553</v>
      </c>
    </row>
    <row r="157" spans="1:78" ht="13.5" customHeight="1">
      <c r="B157" s="17" t="s">
        <v>35</v>
      </c>
      <c r="C157" s="18" t="s">
        <v>22</v>
      </c>
      <c r="D157" s="18"/>
      <c r="E157" s="18" t="s">
        <v>34</v>
      </c>
      <c r="F157" s="18" t="s">
        <v>33</v>
      </c>
      <c r="G157" s="18" t="s">
        <v>7</v>
      </c>
      <c r="H157" s="18" t="s">
        <v>32</v>
      </c>
      <c r="I157" s="19" t="s">
        <v>22</v>
      </c>
      <c r="J157" s="17" t="s">
        <v>31</v>
      </c>
      <c r="K157" s="18"/>
      <c r="L157" s="18" t="s">
        <v>30</v>
      </c>
      <c r="M157" s="18"/>
      <c r="N157" s="18" t="s">
        <v>29</v>
      </c>
      <c r="O157" s="18"/>
      <c r="P157" s="18" t="s">
        <v>28</v>
      </c>
      <c r="Q157" s="20" t="s">
        <v>27</v>
      </c>
      <c r="R157" s="21" t="s">
        <v>26</v>
      </c>
      <c r="S157" s="22" t="s">
        <v>7</v>
      </c>
      <c r="T157" s="23" t="s">
        <v>25</v>
      </c>
      <c r="U157" s="24" t="s">
        <v>24</v>
      </c>
      <c r="V157" s="25" t="s">
        <v>7</v>
      </c>
      <c r="W157" s="26" t="s">
        <v>23</v>
      </c>
      <c r="X157" s="4" t="s">
        <v>22</v>
      </c>
      <c r="Y157" s="4" t="s">
        <v>21</v>
      </c>
      <c r="Z157" s="5" t="s">
        <v>20</v>
      </c>
      <c r="AM157" s="1" t="s">
        <v>134</v>
      </c>
      <c r="AN157" s="1">
        <f>AN156</f>
        <v>1200</v>
      </c>
      <c r="AO157" s="1">
        <v>55</v>
      </c>
      <c r="AP157" s="1">
        <v>45</v>
      </c>
      <c r="AQ157" s="1">
        <f>AO157/2+AP157/2</f>
        <v>50</v>
      </c>
      <c r="AR157" s="1">
        <v>456</v>
      </c>
      <c r="AS157" s="1">
        <v>572</v>
      </c>
      <c r="AT157" s="1">
        <v>680</v>
      </c>
      <c r="AU157" s="1">
        <v>783</v>
      </c>
      <c r="AV157" s="1">
        <v>1052</v>
      </c>
      <c r="AW157" s="1">
        <v>407</v>
      </c>
      <c r="AX157" s="1">
        <v>588</v>
      </c>
      <c r="AY157" s="1">
        <v>739</v>
      </c>
      <c r="AZ157" s="1">
        <v>882</v>
      </c>
      <c r="BA157" s="1">
        <v>1019</v>
      </c>
      <c r="BB157" s="1">
        <v>1387</v>
      </c>
      <c r="BC157" s="1">
        <v>582</v>
      </c>
      <c r="BD157" s="1">
        <v>853</v>
      </c>
      <c r="BE157" s="1">
        <v>1067</v>
      </c>
      <c r="BF157" s="1">
        <v>1266</v>
      </c>
      <c r="BG157" s="1">
        <v>1454</v>
      </c>
      <c r="BH157" s="1">
        <v>1991</v>
      </c>
      <c r="BJ157" s="1">
        <f t="shared" si="227"/>
        <v>42.222222222222221</v>
      </c>
      <c r="BK157" s="1">
        <f t="shared" si="227"/>
        <v>39.722222222222221</v>
      </c>
      <c r="BL157" s="1">
        <f t="shared" si="227"/>
        <v>37.777777777777779</v>
      </c>
      <c r="BM157" s="1">
        <f t="shared" si="227"/>
        <v>36.25</v>
      </c>
      <c r="BN157" s="1">
        <f t="shared" si="227"/>
        <v>32.46913580246914</v>
      </c>
      <c r="BO157" s="1">
        <f t="shared" si="227"/>
        <v>56.527777777777771</v>
      </c>
      <c r="BP157" s="1">
        <f t="shared" si="227"/>
        <v>54.44444444444445</v>
      </c>
      <c r="BQ157" s="1">
        <f t="shared" si="227"/>
        <v>51.319444444444443</v>
      </c>
      <c r="BR157" s="1">
        <f t="shared" si="227"/>
        <v>49</v>
      </c>
      <c r="BS157" s="1">
        <f t="shared" si="227"/>
        <v>47.175925925925924</v>
      </c>
      <c r="BT157" s="1">
        <f t="shared" si="228"/>
        <v>42.808641975308639</v>
      </c>
      <c r="BU157" s="1">
        <f t="shared" si="228"/>
        <v>80.833333333333329</v>
      </c>
      <c r="BV157" s="1">
        <f t="shared" si="228"/>
        <v>78.981481481481481</v>
      </c>
      <c r="BW157" s="1">
        <f t="shared" si="228"/>
        <v>74.097222222222229</v>
      </c>
      <c r="BX157" s="1">
        <f t="shared" si="228"/>
        <v>70.333333333333343</v>
      </c>
      <c r="BY157" s="1">
        <f t="shared" si="228"/>
        <v>67.314814814814824</v>
      </c>
      <c r="BZ157" s="1">
        <f t="shared" si="228"/>
        <v>61.450617283950614</v>
      </c>
    </row>
    <row r="158" spans="1:78" ht="13.5" customHeight="1">
      <c r="B158" s="54" t="s">
        <v>3</v>
      </c>
      <c r="C158" s="28" t="s">
        <v>17</v>
      </c>
      <c r="D158" s="20" t="s">
        <v>13</v>
      </c>
      <c r="E158" s="20" t="s">
        <v>19</v>
      </c>
      <c r="F158" s="28" t="s">
        <v>19</v>
      </c>
      <c r="G158" s="20" t="s">
        <v>3</v>
      </c>
      <c r="H158" s="20" t="s">
        <v>19</v>
      </c>
      <c r="I158" s="29" t="s">
        <v>12</v>
      </c>
      <c r="J158" s="55" t="s">
        <v>18</v>
      </c>
      <c r="K158" s="20" t="s">
        <v>17</v>
      </c>
      <c r="L158" s="56" t="s">
        <v>16</v>
      </c>
      <c r="M158" s="20" t="s">
        <v>15</v>
      </c>
      <c r="N158" s="20" t="s">
        <v>14</v>
      </c>
      <c r="O158" s="20" t="s">
        <v>13</v>
      </c>
      <c r="P158" s="20" t="s">
        <v>12</v>
      </c>
      <c r="Q158" s="20" t="s">
        <v>11</v>
      </c>
      <c r="R158" s="21" t="s">
        <v>11</v>
      </c>
      <c r="S158" s="22" t="s">
        <v>10</v>
      </c>
      <c r="T158" s="23" t="s">
        <v>9</v>
      </c>
      <c r="U158" s="24" t="s">
        <v>9</v>
      </c>
      <c r="V158" s="33" t="s">
        <v>8</v>
      </c>
      <c r="W158" s="34" t="s">
        <v>7</v>
      </c>
      <c r="X158" s="4" t="s">
        <v>6</v>
      </c>
      <c r="Y158" s="6" t="s">
        <v>5</v>
      </c>
      <c r="Z158" s="7" t="s">
        <v>5</v>
      </c>
      <c r="AM158" s="1">
        <v>1400</v>
      </c>
    </row>
    <row r="159" spans="1:78" ht="13.5" customHeight="1" thickBot="1">
      <c r="B159" s="57"/>
      <c r="C159" s="3">
        <f>C139</f>
        <v>1.05</v>
      </c>
      <c r="D159" s="37"/>
      <c r="E159" s="38"/>
      <c r="F159" s="38"/>
      <c r="G159" s="37"/>
      <c r="H159" s="37"/>
      <c r="I159" s="39"/>
      <c r="J159" s="58" t="s">
        <v>4</v>
      </c>
      <c r="K159" s="44"/>
      <c r="L159" s="59"/>
      <c r="M159" s="37"/>
      <c r="N159" s="37"/>
      <c r="O159" s="37"/>
      <c r="P159" s="37"/>
      <c r="Q159" s="42"/>
      <c r="R159" s="42"/>
      <c r="S159" s="52" t="s">
        <v>3</v>
      </c>
      <c r="T159" s="43"/>
      <c r="U159" s="44"/>
      <c r="V159" s="39" t="s">
        <v>3</v>
      </c>
      <c r="W159" s="45" t="s">
        <v>3</v>
      </c>
      <c r="X159" s="8" t="s">
        <v>2</v>
      </c>
      <c r="Y159" s="9" t="s">
        <v>1</v>
      </c>
      <c r="Z159" s="13" t="s">
        <v>0</v>
      </c>
      <c r="AM159" s="1" t="s">
        <v>131</v>
      </c>
      <c r="AN159" s="1">
        <f>AM158</f>
        <v>1400</v>
      </c>
      <c r="AO159" s="1">
        <v>90</v>
      </c>
      <c r="AP159" s="1">
        <v>70</v>
      </c>
      <c r="AQ159" s="1">
        <f>AO159/2+AP159/2</f>
        <v>80</v>
      </c>
      <c r="AR159" s="1">
        <v>1327</v>
      </c>
      <c r="AS159" s="1">
        <v>1670</v>
      </c>
      <c r="AT159" s="1">
        <v>1992</v>
      </c>
      <c r="AU159" s="1">
        <v>2299</v>
      </c>
      <c r="AV159" s="1">
        <v>3145</v>
      </c>
      <c r="AW159" s="1">
        <v>1134</v>
      </c>
      <c r="AX159" s="1">
        <v>1723</v>
      </c>
      <c r="AY159" s="1">
        <v>2170</v>
      </c>
      <c r="AZ159" s="1">
        <v>2592</v>
      </c>
      <c r="BA159" s="1">
        <v>2999</v>
      </c>
      <c r="BB159" s="1">
        <v>4147</v>
      </c>
      <c r="BC159" s="1">
        <v>1635</v>
      </c>
      <c r="BD159" s="1">
        <v>2446</v>
      </c>
      <c r="BE159" s="1">
        <v>3091</v>
      </c>
      <c r="BF159" s="1">
        <v>3708</v>
      </c>
      <c r="BG159" s="1">
        <v>4303</v>
      </c>
      <c r="BH159" s="1">
        <v>5973</v>
      </c>
      <c r="BJ159" s="1">
        <f t="shared" ref="BJ159:BS162" si="229">AR159/($AQ159-20)/AR$132/$AN159*1000000</f>
        <v>52.658730158730165</v>
      </c>
      <c r="BK159" s="1">
        <f t="shared" si="229"/>
        <v>49.702380952380949</v>
      </c>
      <c r="BL159" s="1">
        <f t="shared" si="229"/>
        <v>47.428571428571423</v>
      </c>
      <c r="BM159" s="1">
        <f t="shared" si="229"/>
        <v>45.615079365079374</v>
      </c>
      <c r="BN159" s="1">
        <f t="shared" si="229"/>
        <v>41.600529100529094</v>
      </c>
      <c r="BO159" s="1">
        <f t="shared" si="229"/>
        <v>67.499999999999986</v>
      </c>
      <c r="BP159" s="1">
        <f t="shared" si="229"/>
        <v>68.373015873015873</v>
      </c>
      <c r="BQ159" s="1">
        <f t="shared" si="229"/>
        <v>64.583333333333329</v>
      </c>
      <c r="BR159" s="1">
        <f t="shared" si="229"/>
        <v>61.714285714285715</v>
      </c>
      <c r="BS159" s="1">
        <f t="shared" si="229"/>
        <v>59.50396825396826</v>
      </c>
      <c r="BT159" s="1">
        <f t="shared" ref="BT159:BZ162" si="230">BB159/($AQ159-20)/BB$132/$AN159*1000000</f>
        <v>54.854497354497347</v>
      </c>
      <c r="BU159" s="1">
        <f t="shared" si="230"/>
        <v>97.321428571428569</v>
      </c>
      <c r="BV159" s="1">
        <f t="shared" si="230"/>
        <v>97.063492063492063</v>
      </c>
      <c r="BW159" s="1">
        <f t="shared" si="230"/>
        <v>91.99404761904762</v>
      </c>
      <c r="BX159" s="1">
        <f t="shared" si="230"/>
        <v>88.285714285714278</v>
      </c>
      <c r="BY159" s="1">
        <f t="shared" si="230"/>
        <v>85.376984126984112</v>
      </c>
      <c r="BZ159" s="1">
        <f t="shared" si="230"/>
        <v>79.007936507936506</v>
      </c>
    </row>
    <row r="160" spans="1:78" ht="13.5" customHeight="1">
      <c r="A160" s="1">
        <v>1</v>
      </c>
      <c r="B160" s="3">
        <f t="shared" ref="B160:B169" si="231">B140</f>
        <v>1000</v>
      </c>
      <c r="C160" s="1">
        <f t="shared" ref="C160:C169" si="232">IF(B160&lt;1,0.000001,C140*(1+AB140))</f>
        <v>2.9694583971660762E-2</v>
      </c>
      <c r="D160" s="1">
        <f t="shared" si="195"/>
        <v>0.85408462795182727</v>
      </c>
      <c r="E160" s="1">
        <f t="shared" ref="E160:E169" si="233">R160</f>
        <v>72.61928120537101</v>
      </c>
      <c r="F160" s="1">
        <f t="shared" ref="F160:F169" si="234">F140</f>
        <v>20</v>
      </c>
      <c r="G160" s="1">
        <f t="shared" ref="G160:G169" si="235">(E160-F160)*C160*(1-D160)*4200</f>
        <v>957.57432607926705</v>
      </c>
      <c r="H160" s="1">
        <f t="shared" ref="H160:H169" si="236">(E160-F160)*D160+F160</f>
        <v>64.941319211381881</v>
      </c>
      <c r="I160" s="1">
        <f t="shared" ref="I160:I169" si="237">B160*0.001*6/C160</f>
        <v>202.05704871050366</v>
      </c>
      <c r="J160" s="3">
        <f t="shared" ref="J160:J169" si="238">J140</f>
        <v>10</v>
      </c>
      <c r="K160" s="47">
        <f t="shared" ref="K160:K169" si="239">K159+C160</f>
        <v>2.9694583971660762E-2</v>
      </c>
      <c r="L160" s="3">
        <f t="shared" ref="L160:L169" si="240">L140</f>
        <v>3</v>
      </c>
      <c r="M160" s="47">
        <f t="shared" ref="M160:M169" si="241">K160/(J160*J160*3.14/4000)</f>
        <v>0.37827495505300335</v>
      </c>
      <c r="N160" s="47">
        <f t="shared" ref="N160:N169" si="242">L160*26400/J160^1.27*M160^1.83*$N$69</f>
        <v>897.47649102242474</v>
      </c>
      <c r="O160" s="1">
        <f t="shared" ref="O160:O169" si="243">EXP(-(J160+2)*3.14/1000*$O$66/(M160*J160*J160*3.14/4000*4200)*L160)</f>
        <v>0.99097724962921763</v>
      </c>
      <c r="P160" s="1">
        <f t="shared" ref="P160:P169" si="244">L160/M160</f>
        <v>7.9307391618872689</v>
      </c>
      <c r="Q160" s="1">
        <f t="shared" ref="Q160:Q169" si="245">R161</f>
        <v>73.098374584339808</v>
      </c>
      <c r="R160" s="1">
        <f t="shared" ref="R160:R169" si="246">(Q160-F160)*O160+F160</f>
        <v>72.61928120537101</v>
      </c>
      <c r="S160" s="47">
        <f t="shared" ref="S160:S169" si="247">K160*(1-O160)*4200*(Q160-F160)</f>
        <v>59.751210002633208</v>
      </c>
      <c r="T160" s="1">
        <f t="shared" ref="T160:T169" si="248">(U159*K159+H160*C160)/K160</f>
        <v>64.941319211381881</v>
      </c>
      <c r="U160" s="47">
        <f t="shared" ref="U160:U169" si="249">(T160-F160)*O160+F160</f>
        <v>64.535824906803938</v>
      </c>
      <c r="V160" s="47">
        <f t="shared" ref="V160:V169" si="250">K160*(1-O160)*4200*(T160-F160)</f>
        <v>50.572135644743867</v>
      </c>
      <c r="W160" s="2">
        <f t="shared" si="214"/>
        <v>957.58432607926704</v>
      </c>
      <c r="X160" s="1">
        <f t="shared" ref="X160:X169" si="251">C160*3600</f>
        <v>106.90050229797875</v>
      </c>
      <c r="Y160" s="1">
        <f t="shared" ref="Y160:Y169" si="252">Y161-2*N160/1000</f>
        <v>5.9999999999999991</v>
      </c>
      <c r="Z160" s="2">
        <f t="shared" ref="Z160:Z169" si="253">-1.1-1.8*LOG10(Y160/X160/X160)</f>
        <v>4.8036548343755481</v>
      </c>
      <c r="AA160" s="3">
        <f t="shared" ref="AA160:AA169" si="254">AA140</f>
        <v>1000</v>
      </c>
      <c r="AB160" s="1">
        <f t="shared" ref="AB160" si="255">((AA160/W160)-1)*AB$23+AC160+AD160</f>
        <v>4.4294452995486733E-2</v>
      </c>
      <c r="AC160" s="1">
        <f>((N172/N171)-1)*AB$24</f>
        <v>0</v>
      </c>
      <c r="AD160" s="64">
        <f t="shared" ref="AD160" si="256">(AC$21-(X160/1000/SQRT(Y160/104))*1000/B160)*AB$21</f>
        <v>0</v>
      </c>
      <c r="AE160" s="1">
        <f t="shared" ref="AE160:AE170" si="257">AE161</f>
        <v>13.124984990551011</v>
      </c>
      <c r="AM160" s="1" t="s">
        <v>132</v>
      </c>
      <c r="AN160" s="1">
        <f>AN159</f>
        <v>1400</v>
      </c>
      <c r="AO160" s="1">
        <v>75</v>
      </c>
      <c r="AP160" s="1">
        <v>65</v>
      </c>
      <c r="AQ160" s="1">
        <f>AO160/2+AP160/2</f>
        <v>70</v>
      </c>
      <c r="AR160" s="1">
        <v>1043</v>
      </c>
      <c r="AS160" s="1">
        <v>1312</v>
      </c>
      <c r="AT160" s="1">
        <v>1564</v>
      </c>
      <c r="AU160" s="1">
        <v>1803</v>
      </c>
      <c r="AV160" s="1">
        <v>2456</v>
      </c>
      <c r="AW160" s="1">
        <v>909</v>
      </c>
      <c r="AX160" s="1">
        <v>1352</v>
      </c>
      <c r="AY160" s="1">
        <v>1702</v>
      </c>
      <c r="AZ160" s="1">
        <v>2033</v>
      </c>
      <c r="BA160" s="1">
        <v>2351</v>
      </c>
      <c r="BB160" s="1">
        <v>3238</v>
      </c>
      <c r="BC160" s="1">
        <v>1308</v>
      </c>
      <c r="BD160" s="1">
        <v>1931</v>
      </c>
      <c r="BE160" s="1">
        <v>2433</v>
      </c>
      <c r="BF160" s="1">
        <v>2911</v>
      </c>
      <c r="BG160" s="1">
        <v>3368</v>
      </c>
      <c r="BH160" s="1">
        <v>4659</v>
      </c>
      <c r="BJ160" s="1">
        <f t="shared" si="229"/>
        <v>49.666666666666671</v>
      </c>
      <c r="BK160" s="1">
        <f t="shared" si="229"/>
        <v>46.857142857142854</v>
      </c>
      <c r="BL160" s="1">
        <f t="shared" si="229"/>
        <v>44.685714285714283</v>
      </c>
      <c r="BM160" s="1">
        <f t="shared" si="229"/>
        <v>42.928571428571431</v>
      </c>
      <c r="BN160" s="1">
        <f t="shared" si="229"/>
        <v>38.984126984126981</v>
      </c>
      <c r="BO160" s="1">
        <f t="shared" si="229"/>
        <v>64.928571428571431</v>
      </c>
      <c r="BP160" s="1">
        <f t="shared" si="229"/>
        <v>64.38095238095238</v>
      </c>
      <c r="BQ160" s="1">
        <f t="shared" si="229"/>
        <v>60.785714285714285</v>
      </c>
      <c r="BR160" s="1">
        <f t="shared" si="229"/>
        <v>58.085714285714282</v>
      </c>
      <c r="BS160" s="1">
        <f t="shared" si="229"/>
        <v>55.976190476190482</v>
      </c>
      <c r="BT160" s="1">
        <f t="shared" si="230"/>
        <v>51.396825396825406</v>
      </c>
      <c r="BU160" s="1">
        <f t="shared" si="230"/>
        <v>93.428571428571431</v>
      </c>
      <c r="BV160" s="1">
        <f t="shared" si="230"/>
        <v>91.952380952380963</v>
      </c>
      <c r="BW160" s="1">
        <f t="shared" si="230"/>
        <v>86.892857142857139</v>
      </c>
      <c r="BX160" s="1">
        <f t="shared" si="230"/>
        <v>83.171428571428564</v>
      </c>
      <c r="BY160" s="1">
        <f t="shared" si="230"/>
        <v>80.19047619047619</v>
      </c>
      <c r="BZ160" s="1">
        <f t="shared" si="230"/>
        <v>73.952380952380949</v>
      </c>
    </row>
    <row r="161" spans="1:78" ht="13.5" customHeight="1">
      <c r="A161" s="1">
        <v>2</v>
      </c>
      <c r="B161" s="3">
        <f t="shared" si="231"/>
        <v>1000</v>
      </c>
      <c r="C161" s="1">
        <f t="shared" si="232"/>
        <v>2.8609581752979261E-2</v>
      </c>
      <c r="D161" s="1">
        <f t="shared" si="195"/>
        <v>0.8485234370263619</v>
      </c>
      <c r="E161" s="1">
        <f t="shared" si="233"/>
        <v>73.098374584339808</v>
      </c>
      <c r="F161" s="1">
        <f t="shared" si="234"/>
        <v>20</v>
      </c>
      <c r="G161" s="1">
        <f t="shared" si="235"/>
        <v>966.46797667120677</v>
      </c>
      <c r="H161" s="1">
        <f t="shared" si="236"/>
        <v>65.055215302817231</v>
      </c>
      <c r="I161" s="1">
        <f t="shared" si="237"/>
        <v>209.71994808610543</v>
      </c>
      <c r="J161" s="3">
        <f t="shared" si="238"/>
        <v>14.142135623730951</v>
      </c>
      <c r="K161" s="47">
        <f t="shared" si="239"/>
        <v>5.830416572464002E-2</v>
      </c>
      <c r="L161" s="3">
        <f t="shared" si="240"/>
        <v>3</v>
      </c>
      <c r="M161" s="47">
        <f t="shared" si="241"/>
        <v>0.37136411289579624</v>
      </c>
      <c r="N161" s="47">
        <f t="shared" si="242"/>
        <v>558.74676890736066</v>
      </c>
      <c r="O161" s="1">
        <f t="shared" si="243"/>
        <v>0.99380964834053942</v>
      </c>
      <c r="P161" s="1">
        <f t="shared" si="244"/>
        <v>8.0783250072464377</v>
      </c>
      <c r="Q161" s="1">
        <f t="shared" si="245"/>
        <v>73.429119623665684</v>
      </c>
      <c r="R161" s="1">
        <f t="shared" si="246"/>
        <v>73.098374584339808</v>
      </c>
      <c r="S161" s="47">
        <f t="shared" si="247"/>
        <v>80.992017058925683</v>
      </c>
      <c r="T161" s="1">
        <f t="shared" si="248"/>
        <v>64.790687347793721</v>
      </c>
      <c r="U161" s="47">
        <f t="shared" si="249"/>
        <v>64.513417242041925</v>
      </c>
      <c r="V161" s="47">
        <f t="shared" si="250"/>
        <v>67.897209224212673</v>
      </c>
      <c r="W161" s="2">
        <f t="shared" si="214"/>
        <v>966.47797667120676</v>
      </c>
      <c r="X161" s="1">
        <f t="shared" si="251"/>
        <v>102.99449431072534</v>
      </c>
      <c r="Y161" s="1">
        <f t="shared" si="252"/>
        <v>7.7949529820448484</v>
      </c>
      <c r="Z161" s="2">
        <f t="shared" si="253"/>
        <v>4.5408661347271337</v>
      </c>
      <c r="AA161" s="3">
        <f t="shared" si="254"/>
        <v>1000</v>
      </c>
      <c r="AB161" s="1">
        <f t="shared" si="182"/>
        <v>3.4684725506370473E-2</v>
      </c>
      <c r="AC161" s="1">
        <f t="shared" ref="AC161:AC169" si="258">AC160</f>
        <v>0</v>
      </c>
      <c r="AD161" s="64">
        <f t="shared" si="183"/>
        <v>0</v>
      </c>
      <c r="AE161" s="1">
        <f t="shared" si="257"/>
        <v>13.124984990551011</v>
      </c>
      <c r="AM161" s="1" t="s">
        <v>133</v>
      </c>
      <c r="AN161" s="1">
        <f>AN160</f>
        <v>1400</v>
      </c>
      <c r="AO161" s="1">
        <v>70</v>
      </c>
      <c r="AP161" s="1">
        <v>55</v>
      </c>
      <c r="AQ161" s="1">
        <f>AO161/2+AP161/2</f>
        <v>62.5</v>
      </c>
      <c r="AR161" s="1">
        <v>842</v>
      </c>
      <c r="AS161" s="1">
        <v>1058</v>
      </c>
      <c r="AT161" s="1">
        <v>1260</v>
      </c>
      <c r="AU161" s="1">
        <v>1452</v>
      </c>
      <c r="AV161" s="1">
        <v>1969</v>
      </c>
      <c r="AW161" s="1">
        <v>734</v>
      </c>
      <c r="AX161" s="1">
        <v>1090</v>
      </c>
      <c r="AY161" s="1">
        <v>1371</v>
      </c>
      <c r="AZ161" s="1">
        <v>1637</v>
      </c>
      <c r="BA161" s="1">
        <v>1892</v>
      </c>
      <c r="BB161" s="1">
        <v>2597</v>
      </c>
      <c r="BC161" s="1">
        <v>1055</v>
      </c>
      <c r="BD161" s="1">
        <v>1564</v>
      </c>
      <c r="BE161" s="1">
        <v>1966</v>
      </c>
      <c r="BF161" s="1">
        <v>2346</v>
      </c>
      <c r="BG161" s="1">
        <v>2708</v>
      </c>
      <c r="BH161" s="1">
        <v>3734</v>
      </c>
      <c r="BJ161" s="1">
        <f t="shared" si="229"/>
        <v>47.170868347338939</v>
      </c>
      <c r="BK161" s="1">
        <f t="shared" si="229"/>
        <v>44.453781512605048</v>
      </c>
      <c r="BL161" s="1">
        <f t="shared" si="229"/>
        <v>42.352941176470594</v>
      </c>
      <c r="BM161" s="1">
        <f t="shared" si="229"/>
        <v>40.672268907563023</v>
      </c>
      <c r="BN161" s="1">
        <f t="shared" si="229"/>
        <v>36.769374416433237</v>
      </c>
      <c r="BO161" s="1">
        <f t="shared" si="229"/>
        <v>61.680672268907557</v>
      </c>
      <c r="BP161" s="1">
        <f t="shared" si="229"/>
        <v>61.064425770308127</v>
      </c>
      <c r="BQ161" s="1">
        <f t="shared" si="229"/>
        <v>57.605042016806713</v>
      </c>
      <c r="BR161" s="1">
        <f t="shared" si="229"/>
        <v>55.02521008403361</v>
      </c>
      <c r="BS161" s="1">
        <f t="shared" si="229"/>
        <v>52.997198879551817</v>
      </c>
      <c r="BT161" s="1">
        <f t="shared" si="230"/>
        <v>48.496732026143796</v>
      </c>
      <c r="BU161" s="1">
        <f t="shared" si="230"/>
        <v>88.655462184873954</v>
      </c>
      <c r="BV161" s="1">
        <f t="shared" si="230"/>
        <v>87.619047619047606</v>
      </c>
      <c r="BW161" s="1">
        <f t="shared" si="230"/>
        <v>82.605042016806721</v>
      </c>
      <c r="BX161" s="1">
        <f t="shared" si="230"/>
        <v>78.857142857142875</v>
      </c>
      <c r="BY161" s="1">
        <f t="shared" si="230"/>
        <v>75.854341736694678</v>
      </c>
      <c r="BZ161" s="1">
        <f t="shared" si="230"/>
        <v>69.729225023342678</v>
      </c>
    </row>
    <row r="162" spans="1:78" ht="13.5" customHeight="1">
      <c r="A162" s="1">
        <v>3</v>
      </c>
      <c r="B162" s="3">
        <f t="shared" si="231"/>
        <v>1000</v>
      </c>
      <c r="C162" s="1">
        <f t="shared" si="232"/>
        <v>2.7897971167086252E-2</v>
      </c>
      <c r="D162" s="1">
        <f t="shared" si="195"/>
        <v>0.84464619535571972</v>
      </c>
      <c r="E162" s="1">
        <f t="shared" si="233"/>
        <v>73.429119623665684</v>
      </c>
      <c r="F162" s="1">
        <f t="shared" si="234"/>
        <v>20</v>
      </c>
      <c r="G162" s="1">
        <f t="shared" si="235"/>
        <v>972.57213683615157</v>
      </c>
      <c r="H162" s="1">
        <f t="shared" si="236"/>
        <v>65.128702611334845</v>
      </c>
      <c r="I162" s="1">
        <f t="shared" si="237"/>
        <v>215.0694028631996</v>
      </c>
      <c r="J162" s="3">
        <f t="shared" si="238"/>
        <v>17.320508075688775</v>
      </c>
      <c r="K162" s="47">
        <f t="shared" si="239"/>
        <v>8.6202136891726275E-2</v>
      </c>
      <c r="L162" s="3">
        <f t="shared" si="240"/>
        <v>3</v>
      </c>
      <c r="M162" s="47">
        <f t="shared" si="241"/>
        <v>0.36603879784172505</v>
      </c>
      <c r="N162" s="47">
        <f t="shared" si="242"/>
        <v>420.64703115861846</v>
      </c>
      <c r="O162" s="1">
        <f t="shared" si="243"/>
        <v>0.99498569209250542</v>
      </c>
      <c r="P162" s="1">
        <f t="shared" si="244"/>
        <v>8.1958525098675423</v>
      </c>
      <c r="Q162" s="1">
        <f t="shared" si="245"/>
        <v>73.698379834288403</v>
      </c>
      <c r="R162" s="1">
        <f t="shared" si="246"/>
        <v>73.429119623665684</v>
      </c>
      <c r="S162" s="47">
        <f t="shared" si="247"/>
        <v>97.485383249497829</v>
      </c>
      <c r="T162" s="1">
        <f t="shared" si="248"/>
        <v>64.712544712786922</v>
      </c>
      <c r="U162" s="47">
        <f t="shared" si="249"/>
        <v>64.488342246269383</v>
      </c>
      <c r="V162" s="47">
        <f t="shared" si="250"/>
        <v>81.172273182869347</v>
      </c>
      <c r="W162" s="2">
        <f t="shared" si="214"/>
        <v>972.58213683615156</v>
      </c>
      <c r="X162" s="1">
        <f t="shared" si="251"/>
        <v>100.43269620151051</v>
      </c>
      <c r="Y162" s="1">
        <f t="shared" si="252"/>
        <v>8.9124465198595697</v>
      </c>
      <c r="Z162" s="2">
        <f t="shared" si="253"/>
        <v>4.3967559523766777</v>
      </c>
      <c r="AA162" s="3">
        <f t="shared" si="254"/>
        <v>1000</v>
      </c>
      <c r="AB162" s="1">
        <f t="shared" si="182"/>
        <v>2.819079451020956E-2</v>
      </c>
      <c r="AC162" s="1">
        <f t="shared" si="258"/>
        <v>0</v>
      </c>
      <c r="AD162" s="64">
        <f t="shared" si="183"/>
        <v>0</v>
      </c>
      <c r="AE162" s="1">
        <f t="shared" si="257"/>
        <v>13.124984990551011</v>
      </c>
      <c r="AM162" s="1" t="s">
        <v>134</v>
      </c>
      <c r="AN162" s="1">
        <f>AN161</f>
        <v>1400</v>
      </c>
      <c r="AO162" s="1">
        <v>55</v>
      </c>
      <c r="AP162" s="1">
        <v>45</v>
      </c>
      <c r="AQ162" s="1">
        <f>AO162/2+AP162/2</f>
        <v>50</v>
      </c>
      <c r="AR162" s="1">
        <v>532</v>
      </c>
      <c r="AS162" s="1">
        <v>667</v>
      </c>
      <c r="AT162" s="1">
        <v>794</v>
      </c>
      <c r="AU162" s="1">
        <v>913</v>
      </c>
      <c r="AV162" s="1">
        <v>1227</v>
      </c>
      <c r="AW162" s="1">
        <v>475</v>
      </c>
      <c r="AX162" s="1">
        <v>686</v>
      </c>
      <c r="AY162" s="1">
        <v>862</v>
      </c>
      <c r="AZ162" s="1">
        <v>1029</v>
      </c>
      <c r="BA162" s="1">
        <v>1188</v>
      </c>
      <c r="BB162" s="1">
        <v>1619</v>
      </c>
      <c r="BC162" s="1">
        <v>679</v>
      </c>
      <c r="BD162" s="1">
        <v>995</v>
      </c>
      <c r="BE162" s="1">
        <v>1244</v>
      </c>
      <c r="BF162" s="1">
        <v>1477</v>
      </c>
      <c r="BG162" s="1">
        <v>1696</v>
      </c>
      <c r="BH162" s="1">
        <v>2323</v>
      </c>
      <c r="BJ162" s="1">
        <f t="shared" si="229"/>
        <v>42.222222222222221</v>
      </c>
      <c r="BK162" s="1">
        <f t="shared" si="229"/>
        <v>39.702380952380956</v>
      </c>
      <c r="BL162" s="1">
        <f t="shared" si="229"/>
        <v>37.80952380952381</v>
      </c>
      <c r="BM162" s="1">
        <f t="shared" si="229"/>
        <v>36.230158730158735</v>
      </c>
      <c r="BN162" s="1">
        <f t="shared" si="229"/>
        <v>32.460317460317455</v>
      </c>
      <c r="BO162" s="1">
        <f t="shared" si="229"/>
        <v>56.547619047619044</v>
      </c>
      <c r="BP162" s="1">
        <f t="shared" si="229"/>
        <v>54.444444444444436</v>
      </c>
      <c r="BQ162" s="1">
        <f t="shared" si="229"/>
        <v>51.30952380952381</v>
      </c>
      <c r="BR162" s="1">
        <f t="shared" si="229"/>
        <v>49</v>
      </c>
      <c r="BS162" s="1">
        <f t="shared" si="229"/>
        <v>47.142857142857146</v>
      </c>
      <c r="BT162" s="1">
        <f t="shared" si="230"/>
        <v>42.830687830687836</v>
      </c>
      <c r="BU162" s="1">
        <f t="shared" si="230"/>
        <v>80.833333333333343</v>
      </c>
      <c r="BV162" s="1">
        <f t="shared" si="230"/>
        <v>78.968253968253961</v>
      </c>
      <c r="BW162" s="1">
        <f t="shared" si="230"/>
        <v>74.047619047619051</v>
      </c>
      <c r="BX162" s="1">
        <f t="shared" si="230"/>
        <v>70.333333333333343</v>
      </c>
      <c r="BY162" s="1">
        <f t="shared" si="230"/>
        <v>67.301587301587304</v>
      </c>
      <c r="BZ162" s="1">
        <f t="shared" si="230"/>
        <v>61.455026455026456</v>
      </c>
    </row>
    <row r="163" spans="1:78" ht="13.5" customHeight="1">
      <c r="A163" s="1">
        <v>4</v>
      </c>
      <c r="B163" s="3">
        <f t="shared" si="231"/>
        <v>1000</v>
      </c>
      <c r="C163" s="1">
        <f t="shared" si="232"/>
        <v>2.734023752942526E-2</v>
      </c>
      <c r="D163" s="1">
        <f t="shared" si="195"/>
        <v>0.84146933901504162</v>
      </c>
      <c r="E163" s="1">
        <f t="shared" si="233"/>
        <v>73.698379834288403</v>
      </c>
      <c r="F163" s="1">
        <f t="shared" si="234"/>
        <v>20</v>
      </c>
      <c r="G163" s="1">
        <f t="shared" si="235"/>
        <v>977.52084381937527</v>
      </c>
      <c r="H163" s="1">
        <f t="shared" si="236"/>
        <v>65.185540185337302</v>
      </c>
      <c r="I163" s="1">
        <f t="shared" si="237"/>
        <v>219.45676198103354</v>
      </c>
      <c r="J163" s="3">
        <f t="shared" si="238"/>
        <v>20</v>
      </c>
      <c r="K163" s="47">
        <f t="shared" si="239"/>
        <v>0.11354237442115153</v>
      </c>
      <c r="L163" s="3">
        <f t="shared" si="240"/>
        <v>3</v>
      </c>
      <c r="M163" s="47">
        <f t="shared" si="241"/>
        <v>0.36159991853869916</v>
      </c>
      <c r="N163" s="47">
        <f t="shared" si="242"/>
        <v>342.67698168623167</v>
      </c>
      <c r="O163" s="1">
        <f t="shared" si="243"/>
        <v>0.99566366334276857</v>
      </c>
      <c r="P163" s="1">
        <f t="shared" si="244"/>
        <v>8.2964620460193323</v>
      </c>
      <c r="Q163" s="1">
        <f t="shared" si="245"/>
        <v>73.932248219248436</v>
      </c>
      <c r="R163" s="1">
        <f t="shared" si="246"/>
        <v>73.698379834288403</v>
      </c>
      <c r="S163" s="47">
        <f t="shared" si="247"/>
        <v>111.52668126768805</v>
      </c>
      <c r="T163" s="1">
        <f t="shared" si="248"/>
        <v>64.656222805015133</v>
      </c>
      <c r="U163" s="47">
        <f t="shared" si="249"/>
        <v>64.462578389092243</v>
      </c>
      <c r="V163" s="47">
        <f t="shared" si="250"/>
        <v>92.344756464580186</v>
      </c>
      <c r="W163" s="2">
        <f t="shared" si="214"/>
        <v>977.53084381937526</v>
      </c>
      <c r="X163" s="1">
        <f t="shared" si="251"/>
        <v>98.424855105930931</v>
      </c>
      <c r="Y163" s="1">
        <f t="shared" si="252"/>
        <v>9.7537405821768068</v>
      </c>
      <c r="Z163" s="2">
        <f t="shared" si="253"/>
        <v>4.2946690617956502</v>
      </c>
      <c r="AA163" s="3">
        <f t="shared" si="254"/>
        <v>1000</v>
      </c>
      <c r="AB163" s="1">
        <f t="shared" si="182"/>
        <v>2.298562375058566E-2</v>
      </c>
      <c r="AC163" s="1">
        <f t="shared" si="258"/>
        <v>0</v>
      </c>
      <c r="AD163" s="64">
        <f t="shared" si="183"/>
        <v>0</v>
      </c>
      <c r="AE163" s="1">
        <f t="shared" si="257"/>
        <v>13.124984990551011</v>
      </c>
      <c r="AM163" s="1">
        <v>1600</v>
      </c>
    </row>
    <row r="164" spans="1:78" ht="13.5" customHeight="1">
      <c r="A164" s="1">
        <v>5</v>
      </c>
      <c r="B164" s="3">
        <f t="shared" si="231"/>
        <v>1000</v>
      </c>
      <c r="C164" s="1">
        <f t="shared" si="232"/>
        <v>2.6870881080601015E-2</v>
      </c>
      <c r="D164" s="1">
        <f t="shared" si="195"/>
        <v>0.83869600378536069</v>
      </c>
      <c r="E164" s="1">
        <f t="shared" si="233"/>
        <v>73.932248219248436</v>
      </c>
      <c r="F164" s="1">
        <f t="shared" si="234"/>
        <v>20</v>
      </c>
      <c r="G164" s="1">
        <f t="shared" si="235"/>
        <v>981.80411703597031</v>
      </c>
      <c r="H164" s="1">
        <f t="shared" si="236"/>
        <v>65.232761056643795</v>
      </c>
      <c r="I164" s="1">
        <f t="shared" si="237"/>
        <v>223.29003585712715</v>
      </c>
      <c r="J164" s="3">
        <f t="shared" si="238"/>
        <v>22.360679774997898</v>
      </c>
      <c r="K164" s="47">
        <f t="shared" si="239"/>
        <v>0.14041325550175254</v>
      </c>
      <c r="L164" s="3">
        <f t="shared" si="240"/>
        <v>3</v>
      </c>
      <c r="M164" s="47">
        <f t="shared" si="241"/>
        <v>0.35774077834841406</v>
      </c>
      <c r="N164" s="47">
        <f t="shared" si="242"/>
        <v>291.62147407663497</v>
      </c>
      <c r="O164" s="1">
        <f t="shared" si="243"/>
        <v>0.99611636667912795</v>
      </c>
      <c r="P164" s="1">
        <f t="shared" si="244"/>
        <v>8.3859603980573141</v>
      </c>
      <c r="Q164" s="1">
        <f t="shared" si="245"/>
        <v>74.142517905863556</v>
      </c>
      <c r="R164" s="1">
        <f t="shared" si="246"/>
        <v>73.932248219248436</v>
      </c>
      <c r="S164" s="47">
        <f t="shared" si="247"/>
        <v>124.00353517004351</v>
      </c>
      <c r="T164" s="1">
        <f t="shared" si="248"/>
        <v>64.609968226299301</v>
      </c>
      <c r="U164" s="47">
        <f t="shared" si="249"/>
        <v>64.436719467252601</v>
      </c>
      <c r="V164" s="47">
        <f t="shared" si="250"/>
        <v>102.17097353142017</v>
      </c>
      <c r="W164" s="2">
        <f t="shared" si="214"/>
        <v>981.8141170359703</v>
      </c>
      <c r="X164" s="1">
        <f t="shared" si="251"/>
        <v>96.735171890163656</v>
      </c>
      <c r="Y164" s="1">
        <f t="shared" si="252"/>
        <v>10.439094545549271</v>
      </c>
      <c r="Z164" s="2">
        <f t="shared" si="253"/>
        <v>4.2145107719972703</v>
      </c>
      <c r="AA164" s="3">
        <f t="shared" si="254"/>
        <v>1000</v>
      </c>
      <c r="AB164" s="1">
        <f t="shared" si="182"/>
        <v>1.8522735259635104E-2</v>
      </c>
      <c r="AC164" s="1">
        <f t="shared" si="258"/>
        <v>0</v>
      </c>
      <c r="AD164" s="64">
        <f t="shared" si="183"/>
        <v>0</v>
      </c>
      <c r="AE164" s="1">
        <f t="shared" si="257"/>
        <v>13.124984990551011</v>
      </c>
      <c r="AM164" s="1" t="s">
        <v>131</v>
      </c>
      <c r="AN164" s="1">
        <f>AM163</f>
        <v>1600</v>
      </c>
      <c r="AO164" s="1">
        <v>90</v>
      </c>
      <c r="AP164" s="1">
        <v>70</v>
      </c>
      <c r="AQ164" s="1">
        <f>AO164/2+AP164/2</f>
        <v>80</v>
      </c>
      <c r="AR164" s="1">
        <v>1516</v>
      </c>
      <c r="AS164" s="1">
        <v>1908</v>
      </c>
      <c r="AT164" s="1">
        <v>2277</v>
      </c>
      <c r="AU164" s="1">
        <v>2627</v>
      </c>
      <c r="AV164" s="1">
        <v>3595</v>
      </c>
      <c r="AW164" s="1">
        <v>1296</v>
      </c>
      <c r="AX164" s="1">
        <v>1970</v>
      </c>
      <c r="AY164" s="1">
        <v>2480</v>
      </c>
      <c r="AZ164" s="1">
        <v>2963</v>
      </c>
      <c r="BA164" s="1">
        <v>3427</v>
      </c>
      <c r="BB164" s="1">
        <v>4740</v>
      </c>
      <c r="BC164" s="1">
        <v>1868</v>
      </c>
      <c r="BD164" s="1">
        <v>2795</v>
      </c>
      <c r="BE164" s="1">
        <v>3533</v>
      </c>
      <c r="BF164" s="1">
        <v>4238</v>
      </c>
      <c r="BG164" s="1">
        <v>4918</v>
      </c>
      <c r="BH164" s="1">
        <v>6826</v>
      </c>
      <c r="BJ164" s="1">
        <f t="shared" ref="BJ164:BS167" si="259">AR164/($AQ164-20)/AR$132/$AN164*1000000</f>
        <v>52.638888888888879</v>
      </c>
      <c r="BK164" s="1">
        <f t="shared" si="259"/>
        <v>49.6875</v>
      </c>
      <c r="BL164" s="1">
        <f t="shared" si="259"/>
        <v>47.437500000000007</v>
      </c>
      <c r="BM164" s="1">
        <f t="shared" si="259"/>
        <v>45.607638888888886</v>
      </c>
      <c r="BN164" s="1">
        <f t="shared" si="259"/>
        <v>41.608796296296298</v>
      </c>
      <c r="BO164" s="1">
        <f t="shared" si="259"/>
        <v>67.500000000000014</v>
      </c>
      <c r="BP164" s="1">
        <f t="shared" si="259"/>
        <v>68.402777777777786</v>
      </c>
      <c r="BQ164" s="1">
        <f t="shared" si="259"/>
        <v>64.583333333333329</v>
      </c>
      <c r="BR164" s="1">
        <f t="shared" si="259"/>
        <v>61.729166666666664</v>
      </c>
      <c r="BS164" s="1">
        <f t="shared" si="259"/>
        <v>59.496527777777771</v>
      </c>
      <c r="BT164" s="1">
        <f t="shared" ref="BT164:BZ167" si="260">BB164/($AQ164-20)/BB$132/$AN164*1000000</f>
        <v>54.861111111111114</v>
      </c>
      <c r="BU164" s="1">
        <f t="shared" si="260"/>
        <v>97.291666666666671</v>
      </c>
      <c r="BV164" s="1">
        <f t="shared" si="260"/>
        <v>97.048611111111114</v>
      </c>
      <c r="BW164" s="1">
        <f t="shared" si="260"/>
        <v>92.005208333333329</v>
      </c>
      <c r="BX164" s="1">
        <f t="shared" si="260"/>
        <v>88.291666666666686</v>
      </c>
      <c r="BY164" s="1">
        <f t="shared" si="260"/>
        <v>85.381944444444457</v>
      </c>
      <c r="BZ164" s="1">
        <f t="shared" si="260"/>
        <v>79.004629629629633</v>
      </c>
    </row>
    <row r="165" spans="1:78" ht="13.5" customHeight="1">
      <c r="A165" s="1">
        <v>6</v>
      </c>
      <c r="B165" s="3">
        <f t="shared" si="231"/>
        <v>1000</v>
      </c>
      <c r="C165" s="1">
        <f t="shared" si="232"/>
        <v>2.6460391824428917E-2</v>
      </c>
      <c r="D165" s="1">
        <f t="shared" si="195"/>
        <v>0.83619175369655641</v>
      </c>
      <c r="E165" s="1">
        <f t="shared" si="233"/>
        <v>74.142517905863556</v>
      </c>
      <c r="F165" s="1">
        <f t="shared" si="234"/>
        <v>20</v>
      </c>
      <c r="G165" s="1">
        <f t="shared" si="235"/>
        <v>985.64329302255328</v>
      </c>
      <c r="H165" s="1">
        <f t="shared" si="236"/>
        <v>65.273526997251253</v>
      </c>
      <c r="I165" s="1">
        <f t="shared" si="237"/>
        <v>226.75401180040899</v>
      </c>
      <c r="J165" s="3">
        <f t="shared" si="238"/>
        <v>24.494897427831781</v>
      </c>
      <c r="K165" s="47">
        <f t="shared" si="239"/>
        <v>0.16687364732618146</v>
      </c>
      <c r="L165" s="3">
        <f t="shared" si="240"/>
        <v>3</v>
      </c>
      <c r="M165" s="47">
        <f t="shared" si="241"/>
        <v>0.35429649113838951</v>
      </c>
      <c r="N165" s="47">
        <f t="shared" si="242"/>
        <v>255.1822652396516</v>
      </c>
      <c r="O165" s="1">
        <f t="shared" si="243"/>
        <v>0.99644529915539437</v>
      </c>
      <c r="P165" s="1">
        <f t="shared" si="244"/>
        <v>8.4674843670077138</v>
      </c>
      <c r="Q165" s="1">
        <f t="shared" si="245"/>
        <v>74.335664939917692</v>
      </c>
      <c r="R165" s="1">
        <f t="shared" si="246"/>
        <v>74.142517905863556</v>
      </c>
      <c r="S165" s="47">
        <f t="shared" si="247"/>
        <v>135.37083017995951</v>
      </c>
      <c r="T165" s="1">
        <f t="shared" si="248"/>
        <v>64.569408213979131</v>
      </c>
      <c r="U165" s="47">
        <f t="shared" si="249"/>
        <v>64.410977300957327</v>
      </c>
      <c r="V165" s="47">
        <f t="shared" si="250"/>
        <v>111.03936608169538</v>
      </c>
      <c r="W165" s="2">
        <f t="shared" si="214"/>
        <v>985.65329302255327</v>
      </c>
      <c r="X165" s="1">
        <f t="shared" si="251"/>
        <v>95.257410567944106</v>
      </c>
      <c r="Y165" s="1">
        <f t="shared" si="252"/>
        <v>11.02233749370254</v>
      </c>
      <c r="Z165" s="2">
        <f t="shared" si="253"/>
        <v>4.1479429098007792</v>
      </c>
      <c r="AA165" s="3">
        <f t="shared" si="254"/>
        <v>1000</v>
      </c>
      <c r="AB165" s="1">
        <f t="shared" si="182"/>
        <v>1.4555530914376558E-2</v>
      </c>
      <c r="AC165" s="1">
        <f t="shared" si="258"/>
        <v>0</v>
      </c>
      <c r="AD165" s="64">
        <f t="shared" si="183"/>
        <v>0</v>
      </c>
      <c r="AE165" s="1">
        <f t="shared" si="257"/>
        <v>13.124984990551011</v>
      </c>
      <c r="AM165" s="1" t="s">
        <v>132</v>
      </c>
      <c r="AN165" s="1">
        <f>AN164</f>
        <v>1600</v>
      </c>
      <c r="AO165" s="1">
        <v>75</v>
      </c>
      <c r="AP165" s="1">
        <v>65</v>
      </c>
      <c r="AQ165" s="1">
        <f>AO165/2+AP165/2</f>
        <v>70</v>
      </c>
      <c r="AR165" s="1">
        <v>1192</v>
      </c>
      <c r="AS165" s="1">
        <v>1499</v>
      </c>
      <c r="AT165" s="1">
        <v>1787</v>
      </c>
      <c r="AU165" s="1">
        <v>2061</v>
      </c>
      <c r="AV165" s="1">
        <v>2806</v>
      </c>
      <c r="AW165" s="1">
        <v>1038</v>
      </c>
      <c r="AX165" s="1">
        <v>1546</v>
      </c>
      <c r="AY165" s="1">
        <v>1946</v>
      </c>
      <c r="AZ165" s="1">
        <v>2323</v>
      </c>
      <c r="BA165" s="1">
        <v>2686</v>
      </c>
      <c r="BB165" s="1">
        <v>3701</v>
      </c>
      <c r="BC165" s="1">
        <v>1494</v>
      </c>
      <c r="BD165" s="1">
        <v>2206</v>
      </c>
      <c r="BE165" s="1">
        <v>2781</v>
      </c>
      <c r="BF165" s="1">
        <v>3326</v>
      </c>
      <c r="BG165" s="1">
        <v>3850</v>
      </c>
      <c r="BH165" s="1">
        <v>5325</v>
      </c>
      <c r="BJ165" s="1">
        <f t="shared" si="259"/>
        <v>49.666666666666671</v>
      </c>
      <c r="BK165" s="1">
        <f t="shared" si="259"/>
        <v>46.843750000000007</v>
      </c>
      <c r="BL165" s="1">
        <f t="shared" si="259"/>
        <v>44.675000000000004</v>
      </c>
      <c r="BM165" s="1">
        <f t="shared" si="259"/>
        <v>42.9375</v>
      </c>
      <c r="BN165" s="1">
        <f t="shared" si="259"/>
        <v>38.972222222222221</v>
      </c>
      <c r="BO165" s="1">
        <f t="shared" si="259"/>
        <v>64.875</v>
      </c>
      <c r="BP165" s="1">
        <f t="shared" si="259"/>
        <v>64.416666666666671</v>
      </c>
      <c r="BQ165" s="1">
        <f t="shared" si="259"/>
        <v>60.8125</v>
      </c>
      <c r="BR165" s="1">
        <f t="shared" si="259"/>
        <v>58.075000000000003</v>
      </c>
      <c r="BS165" s="1">
        <f t="shared" si="259"/>
        <v>55.958333333333329</v>
      </c>
      <c r="BT165" s="1">
        <f t="shared" si="260"/>
        <v>51.402777777777779</v>
      </c>
      <c r="BU165" s="1">
        <f t="shared" si="260"/>
        <v>93.375</v>
      </c>
      <c r="BV165" s="1">
        <f t="shared" si="260"/>
        <v>91.916666666666657</v>
      </c>
      <c r="BW165" s="1">
        <f t="shared" si="260"/>
        <v>86.90625</v>
      </c>
      <c r="BX165" s="1">
        <f t="shared" si="260"/>
        <v>83.149999999999991</v>
      </c>
      <c r="BY165" s="1">
        <f t="shared" si="260"/>
        <v>80.208333333333343</v>
      </c>
      <c r="BZ165" s="1">
        <f t="shared" si="260"/>
        <v>73.958333333333329</v>
      </c>
    </row>
    <row r="166" spans="1:78" ht="13.5" customHeight="1">
      <c r="A166" s="1">
        <v>7</v>
      </c>
      <c r="B166" s="3">
        <f t="shared" si="231"/>
        <v>1000</v>
      </c>
      <c r="C166" s="1">
        <f t="shared" si="232"/>
        <v>2.6092598056537908E-2</v>
      </c>
      <c r="D166" s="1">
        <f t="shared" si="195"/>
        <v>0.83388268819717093</v>
      </c>
      <c r="E166" s="1">
        <f t="shared" si="233"/>
        <v>74.335664939917692</v>
      </c>
      <c r="F166" s="1">
        <f t="shared" si="234"/>
        <v>20</v>
      </c>
      <c r="G166" s="1">
        <f t="shared" si="235"/>
        <v>989.15988479030761</v>
      </c>
      <c r="H166" s="1">
        <f t="shared" si="236"/>
        <v>65.309570345079337</v>
      </c>
      <c r="I166" s="1">
        <f t="shared" si="237"/>
        <v>229.95027122247822</v>
      </c>
      <c r="J166" s="3">
        <f t="shared" si="238"/>
        <v>26.457513110645905</v>
      </c>
      <c r="K166" s="47">
        <f t="shared" si="239"/>
        <v>0.19296624538271936</v>
      </c>
      <c r="L166" s="3">
        <f t="shared" si="240"/>
        <v>3</v>
      </c>
      <c r="M166" s="47">
        <f t="shared" si="241"/>
        <v>0.35116696157000793</v>
      </c>
      <c r="N166" s="47">
        <f t="shared" si="242"/>
        <v>227.66062226483444</v>
      </c>
      <c r="O166" s="1">
        <f t="shared" si="243"/>
        <v>0.99669783199572037</v>
      </c>
      <c r="P166" s="1">
        <f t="shared" si="244"/>
        <v>8.5429448903379424</v>
      </c>
      <c r="Q166" s="1">
        <f t="shared" si="245"/>
        <v>74.515684890293812</v>
      </c>
      <c r="R166" s="1">
        <f t="shared" si="246"/>
        <v>74.335664939917692</v>
      </c>
      <c r="S166" s="47">
        <f t="shared" si="247"/>
        <v>145.89865045586478</v>
      </c>
      <c r="T166" s="1">
        <f t="shared" si="248"/>
        <v>64.532483666333164</v>
      </c>
      <c r="U166" s="47">
        <f t="shared" si="249"/>
        <v>64.385429923619085</v>
      </c>
      <c r="V166" s="47">
        <f t="shared" si="250"/>
        <v>119.1809161242445</v>
      </c>
      <c r="W166" s="2">
        <f t="shared" si="214"/>
        <v>989.16988479030761</v>
      </c>
      <c r="X166" s="1">
        <f t="shared" si="251"/>
        <v>93.933353003536467</v>
      </c>
      <c r="Y166" s="1">
        <f t="shared" si="252"/>
        <v>11.532702024181845</v>
      </c>
      <c r="Z166" s="2">
        <f t="shared" si="253"/>
        <v>4.0906754420051499</v>
      </c>
      <c r="AA166" s="3">
        <f t="shared" si="254"/>
        <v>1000</v>
      </c>
      <c r="AB166" s="1">
        <f t="shared" si="182"/>
        <v>1.0948690792369042E-2</v>
      </c>
      <c r="AC166" s="1">
        <f t="shared" si="258"/>
        <v>0</v>
      </c>
      <c r="AD166" s="64">
        <f t="shared" si="183"/>
        <v>0</v>
      </c>
      <c r="AE166" s="1">
        <f t="shared" si="257"/>
        <v>13.124984990551011</v>
      </c>
      <c r="AM166" s="1" t="s">
        <v>133</v>
      </c>
      <c r="AN166" s="1">
        <f>AN165</f>
        <v>1600</v>
      </c>
      <c r="AO166" s="1">
        <v>70</v>
      </c>
      <c r="AP166" s="1">
        <v>55</v>
      </c>
      <c r="AQ166" s="1">
        <f>AO166/2+AP166/2</f>
        <v>62.5</v>
      </c>
      <c r="AR166" s="1">
        <v>962</v>
      </c>
      <c r="AS166" s="1">
        <v>1209</v>
      </c>
      <c r="AT166" s="1">
        <v>1440</v>
      </c>
      <c r="AU166" s="1">
        <v>1660</v>
      </c>
      <c r="AV166" s="1">
        <v>2251</v>
      </c>
      <c r="AW166" s="1">
        <v>839</v>
      </c>
      <c r="AX166" s="1">
        <v>1245</v>
      </c>
      <c r="AY166" s="1">
        <v>1567</v>
      </c>
      <c r="AZ166" s="1">
        <v>1871</v>
      </c>
      <c r="BA166" s="1">
        <v>2162</v>
      </c>
      <c r="BB166" s="1">
        <v>2968</v>
      </c>
      <c r="BC166" s="1">
        <v>1205</v>
      </c>
      <c r="BD166" s="1">
        <v>1787</v>
      </c>
      <c r="BE166" s="1">
        <v>2246</v>
      </c>
      <c r="BF166" s="1">
        <v>2681</v>
      </c>
      <c r="BG166" s="1">
        <v>3095</v>
      </c>
      <c r="BH166" s="1">
        <v>4267</v>
      </c>
      <c r="BJ166" s="1">
        <f t="shared" si="259"/>
        <v>47.156862745098039</v>
      </c>
      <c r="BK166" s="1">
        <f t="shared" si="259"/>
        <v>44.448529411764703</v>
      </c>
      <c r="BL166" s="1">
        <f t="shared" si="259"/>
        <v>42.352941176470587</v>
      </c>
      <c r="BM166" s="1">
        <f t="shared" si="259"/>
        <v>40.68627450980393</v>
      </c>
      <c r="BN166" s="1">
        <f t="shared" si="259"/>
        <v>36.781045751633989</v>
      </c>
      <c r="BO166" s="1">
        <f t="shared" si="259"/>
        <v>61.691176470588239</v>
      </c>
      <c r="BP166" s="1">
        <f t="shared" si="259"/>
        <v>61.029411764705877</v>
      </c>
      <c r="BQ166" s="1">
        <f t="shared" si="259"/>
        <v>57.610294117647058</v>
      </c>
      <c r="BR166" s="1">
        <f t="shared" si="259"/>
        <v>55.029411764705877</v>
      </c>
      <c r="BS166" s="1">
        <f t="shared" si="259"/>
        <v>52.990196078431367</v>
      </c>
      <c r="BT166" s="1">
        <f t="shared" si="260"/>
        <v>48.496732026143789</v>
      </c>
      <c r="BU166" s="1">
        <f t="shared" si="260"/>
        <v>88.60294117647058</v>
      </c>
      <c r="BV166" s="1">
        <f t="shared" si="260"/>
        <v>87.598039215686271</v>
      </c>
      <c r="BW166" s="1">
        <f t="shared" si="260"/>
        <v>82.57352941176471</v>
      </c>
      <c r="BX166" s="1">
        <f t="shared" si="260"/>
        <v>78.852941176470608</v>
      </c>
      <c r="BY166" s="1">
        <f t="shared" si="260"/>
        <v>75.857843137254903</v>
      </c>
      <c r="BZ166" s="1">
        <f t="shared" si="260"/>
        <v>69.722222222222229</v>
      </c>
    </row>
    <row r="167" spans="1:78" ht="13.5" customHeight="1">
      <c r="A167" s="1">
        <v>8</v>
      </c>
      <c r="B167" s="3">
        <f t="shared" si="231"/>
        <v>1000</v>
      </c>
      <c r="C167" s="1">
        <f t="shared" si="232"/>
        <v>2.5757537301468503E-2</v>
      </c>
      <c r="D167" s="1">
        <f t="shared" si="195"/>
        <v>0.83172318513682986</v>
      </c>
      <c r="E167" s="1">
        <f t="shared" si="233"/>
        <v>74.515684890293812</v>
      </c>
      <c r="F167" s="1">
        <f t="shared" si="234"/>
        <v>20</v>
      </c>
      <c r="G167" s="1">
        <f t="shared" si="235"/>
        <v>992.42885629727573</v>
      </c>
      <c r="H167" s="1">
        <f t="shared" si="236"/>
        <v>65.341959076870921</v>
      </c>
      <c r="I167" s="1">
        <f t="shared" si="237"/>
        <v>232.94152425270582</v>
      </c>
      <c r="J167" s="3">
        <f t="shared" si="238"/>
        <v>28.284271247461902</v>
      </c>
      <c r="K167" s="47">
        <f t="shared" si="239"/>
        <v>0.21872378268418788</v>
      </c>
      <c r="L167" s="3">
        <f t="shared" si="240"/>
        <v>3</v>
      </c>
      <c r="M167" s="47">
        <f t="shared" si="241"/>
        <v>0.34828627815953478</v>
      </c>
      <c r="N167" s="47">
        <f t="shared" si="242"/>
        <v>206.0234235498481</v>
      </c>
      <c r="O167" s="1">
        <f t="shared" si="243"/>
        <v>0.99689937982135834</v>
      </c>
      <c r="P167" s="1">
        <f t="shared" si="244"/>
        <v>8.6136037740362266</v>
      </c>
      <c r="Q167" s="1">
        <f t="shared" si="245"/>
        <v>74.68524305839459</v>
      </c>
      <c r="R167" s="1">
        <f t="shared" si="246"/>
        <v>74.515684890293812</v>
      </c>
      <c r="S167" s="47">
        <f t="shared" si="247"/>
        <v>155.76289643041846</v>
      </c>
      <c r="T167" s="1">
        <f t="shared" si="248"/>
        <v>64.498073528454682</v>
      </c>
      <c r="U167" s="47">
        <f t="shared" si="249"/>
        <v>64.360101903761674</v>
      </c>
      <c r="V167" s="47">
        <f t="shared" si="250"/>
        <v>126.7462377549376</v>
      </c>
      <c r="W167" s="2">
        <f t="shared" si="214"/>
        <v>992.43885629727572</v>
      </c>
      <c r="X167" s="1">
        <f t="shared" si="251"/>
        <v>92.72713428528661</v>
      </c>
      <c r="Y167" s="1">
        <f t="shared" si="252"/>
        <v>11.988023268711514</v>
      </c>
      <c r="Z167" s="2">
        <f t="shared" si="253"/>
        <v>4.0401989784934269</v>
      </c>
      <c r="AA167" s="3">
        <f t="shared" si="254"/>
        <v>1000</v>
      </c>
      <c r="AB167" s="1">
        <f t="shared" si="182"/>
        <v>7.6187501675764047E-3</v>
      </c>
      <c r="AC167" s="1">
        <f t="shared" si="258"/>
        <v>0</v>
      </c>
      <c r="AD167" s="64">
        <f t="shared" si="183"/>
        <v>0</v>
      </c>
      <c r="AE167" s="1">
        <f t="shared" si="257"/>
        <v>13.124984990551011</v>
      </c>
      <c r="AM167" s="1" t="s">
        <v>134</v>
      </c>
      <c r="AN167" s="1">
        <f>AN166</f>
        <v>1600</v>
      </c>
      <c r="AO167" s="1">
        <v>55</v>
      </c>
      <c r="AP167" s="1">
        <v>45</v>
      </c>
      <c r="AQ167" s="1">
        <f>AO167/2+AP167/2</f>
        <v>50</v>
      </c>
      <c r="AR167" s="1">
        <v>607</v>
      </c>
      <c r="AS167" s="1">
        <v>762</v>
      </c>
      <c r="AT167" s="1">
        <v>907</v>
      </c>
      <c r="AU167" s="1">
        <v>1044</v>
      </c>
      <c r="AV167" s="1">
        <v>1403</v>
      </c>
      <c r="AW167" s="1">
        <v>543</v>
      </c>
      <c r="AX167" s="1">
        <v>784</v>
      </c>
      <c r="AY167" s="1">
        <v>985</v>
      </c>
      <c r="AZ167" s="1">
        <v>1176</v>
      </c>
      <c r="BA167" s="1">
        <v>1358</v>
      </c>
      <c r="BB167" s="1">
        <v>1850</v>
      </c>
      <c r="BC167" s="1">
        <v>776</v>
      </c>
      <c r="BD167" s="1">
        <v>1137</v>
      </c>
      <c r="BE167" s="1">
        <v>1422</v>
      </c>
      <c r="BF167" s="1">
        <v>1688</v>
      </c>
      <c r="BG167" s="1">
        <v>1938</v>
      </c>
      <c r="BH167" s="1">
        <v>2655</v>
      </c>
      <c r="BJ167" s="1">
        <f t="shared" si="259"/>
        <v>42.152777777777779</v>
      </c>
      <c r="BK167" s="1">
        <f t="shared" si="259"/>
        <v>39.6875</v>
      </c>
      <c r="BL167" s="1">
        <f t="shared" si="259"/>
        <v>37.791666666666664</v>
      </c>
      <c r="BM167" s="1">
        <f t="shared" si="259"/>
        <v>36.25</v>
      </c>
      <c r="BN167" s="1">
        <f t="shared" si="259"/>
        <v>32.476851851851855</v>
      </c>
      <c r="BO167" s="1">
        <f t="shared" si="259"/>
        <v>56.562500000000007</v>
      </c>
      <c r="BP167" s="1">
        <f t="shared" si="259"/>
        <v>54.444444444444443</v>
      </c>
      <c r="BQ167" s="1">
        <f t="shared" si="259"/>
        <v>51.302083333333343</v>
      </c>
      <c r="BR167" s="1">
        <f t="shared" si="259"/>
        <v>49.000000000000007</v>
      </c>
      <c r="BS167" s="1">
        <f t="shared" si="259"/>
        <v>47.152777777777779</v>
      </c>
      <c r="BT167" s="1">
        <f t="shared" si="260"/>
        <v>42.824074074074069</v>
      </c>
      <c r="BU167" s="1">
        <f t="shared" si="260"/>
        <v>80.833333333333329</v>
      </c>
      <c r="BV167" s="1">
        <f t="shared" si="260"/>
        <v>78.958333333333329</v>
      </c>
      <c r="BW167" s="1">
        <f t="shared" si="260"/>
        <v>74.062499999999986</v>
      </c>
      <c r="BX167" s="1">
        <f t="shared" si="260"/>
        <v>70.333333333333329</v>
      </c>
      <c r="BY167" s="1">
        <f t="shared" si="260"/>
        <v>67.291666666666657</v>
      </c>
      <c r="BZ167" s="1">
        <f t="shared" si="260"/>
        <v>61.458333333333329</v>
      </c>
    </row>
    <row r="168" spans="1:78" ht="13.5" customHeight="1">
      <c r="A168" s="1">
        <v>9</v>
      </c>
      <c r="B168" s="3">
        <f t="shared" si="231"/>
        <v>1000</v>
      </c>
      <c r="C168" s="1">
        <f t="shared" si="232"/>
        <v>2.5448571805949734E-2</v>
      </c>
      <c r="D168" s="1">
        <f t="shared" si="195"/>
        <v>0.82968280110076897</v>
      </c>
      <c r="E168" s="1">
        <f t="shared" si="233"/>
        <v>74.68524305839459</v>
      </c>
      <c r="F168" s="1">
        <f t="shared" si="234"/>
        <v>20</v>
      </c>
      <c r="G168" s="1">
        <f t="shared" si="235"/>
        <v>995.50021343648871</v>
      </c>
      <c r="H168" s="1">
        <f t="shared" si="236"/>
        <v>65.371405639565211</v>
      </c>
      <c r="I168" s="1">
        <f t="shared" si="237"/>
        <v>235.76961590423056</v>
      </c>
      <c r="J168" s="3">
        <f t="shared" si="238"/>
        <v>30</v>
      </c>
      <c r="K168" s="47">
        <f t="shared" si="239"/>
        <v>0.24417235449013761</v>
      </c>
      <c r="L168" s="3">
        <f t="shared" si="240"/>
        <v>3</v>
      </c>
      <c r="M168" s="47">
        <f t="shared" si="241"/>
        <v>0.34560842815306103</v>
      </c>
      <c r="N168" s="47">
        <f t="shared" si="242"/>
        <v>188.49529552452827</v>
      </c>
      <c r="O168" s="1">
        <f t="shared" si="243"/>
        <v>0.99706494003391199</v>
      </c>
      <c r="P168" s="1">
        <f t="shared" si="244"/>
        <v>8.6803438678624403</v>
      </c>
      <c r="Q168" s="1">
        <f t="shared" si="245"/>
        <v>74.846220003016697</v>
      </c>
      <c r="R168" s="1">
        <f t="shared" si="246"/>
        <v>74.68524305839459</v>
      </c>
      <c r="S168" s="47">
        <f t="shared" si="247"/>
        <v>165.08570226543762</v>
      </c>
      <c r="T168" s="1">
        <f t="shared" si="248"/>
        <v>64.465503826890782</v>
      </c>
      <c r="U168" s="47">
        <f t="shared" si="249"/>
        <v>64.33499490673654</v>
      </c>
      <c r="V168" s="47">
        <f t="shared" si="250"/>
        <v>133.84001532730997</v>
      </c>
      <c r="W168" s="2">
        <f t="shared" si="214"/>
        <v>995.5102134364887</v>
      </c>
      <c r="X168" s="1">
        <f t="shared" si="251"/>
        <v>91.614858501419036</v>
      </c>
      <c r="Y168" s="1">
        <f t="shared" si="252"/>
        <v>12.400070115811209</v>
      </c>
      <c r="Z168" s="2">
        <f t="shared" si="253"/>
        <v>3.9949138410495268</v>
      </c>
      <c r="AA168" s="3">
        <f t="shared" si="254"/>
        <v>1000</v>
      </c>
      <c r="AB168" s="1">
        <f t="shared" si="182"/>
        <v>4.5100356610230374E-3</v>
      </c>
      <c r="AC168" s="1">
        <f t="shared" si="258"/>
        <v>0</v>
      </c>
      <c r="AD168" s="64">
        <f t="shared" si="183"/>
        <v>0</v>
      </c>
      <c r="AE168" s="1">
        <f t="shared" si="257"/>
        <v>13.124984990551011</v>
      </c>
      <c r="AM168" s="1">
        <v>1800</v>
      </c>
    </row>
    <row r="169" spans="1:78" ht="13.5" customHeight="1">
      <c r="A169" s="1">
        <v>10</v>
      </c>
      <c r="B169" s="3">
        <f t="shared" si="231"/>
        <v>1000</v>
      </c>
      <c r="C169" s="1">
        <f t="shared" si="232"/>
        <v>2.5161022655931266E-2</v>
      </c>
      <c r="D169" s="1">
        <f t="shared" si="195"/>
        <v>0.82774005213029844</v>
      </c>
      <c r="E169" s="1">
        <f t="shared" si="233"/>
        <v>74.846220003016697</v>
      </c>
      <c r="F169" s="1">
        <f t="shared" si="234"/>
        <v>20</v>
      </c>
      <c r="G169" s="1">
        <f t="shared" si="235"/>
        <v>998.40924094750301</v>
      </c>
      <c r="H169" s="1">
        <f t="shared" si="236"/>
        <v>65.398413004446866</v>
      </c>
      <c r="I169" s="1">
        <f t="shared" si="237"/>
        <v>238.46407525035974</v>
      </c>
      <c r="J169" s="3">
        <f t="shared" si="238"/>
        <v>31.622776601683793</v>
      </c>
      <c r="K169" s="47">
        <f t="shared" si="239"/>
        <v>0.26933337714606886</v>
      </c>
      <c r="L169" s="3">
        <f t="shared" si="240"/>
        <v>3</v>
      </c>
      <c r="M169" s="47">
        <f t="shared" si="241"/>
        <v>0.3430998434981769</v>
      </c>
      <c r="N169" s="47">
        <f t="shared" si="242"/>
        <v>173.96214184537311</v>
      </c>
      <c r="O169" s="1">
        <f t="shared" si="243"/>
        <v>0.99720400005484899</v>
      </c>
      <c r="P169" s="1">
        <f t="shared" si="244"/>
        <v>8.7438104588233099</v>
      </c>
      <c r="Q169" s="1">
        <f t="shared" si="245"/>
        <v>75</v>
      </c>
      <c r="R169" s="1">
        <f t="shared" si="246"/>
        <v>74.846220003016697</v>
      </c>
      <c r="S169" s="47">
        <f t="shared" si="247"/>
        <v>173.95596088510885</v>
      </c>
      <c r="T169" s="1">
        <f t="shared" si="248"/>
        <v>64.434339024917278</v>
      </c>
      <c r="U169" s="47">
        <f t="shared" si="249"/>
        <v>64.310100615440788</v>
      </c>
      <c r="V169" s="47">
        <f t="shared" si="250"/>
        <v>140.53851166134865</v>
      </c>
      <c r="W169" s="2">
        <f t="shared" si="214"/>
        <v>998.419240947503</v>
      </c>
      <c r="X169" s="1">
        <f t="shared" si="251"/>
        <v>90.579681561352558</v>
      </c>
      <c r="Y169" s="1">
        <f t="shared" si="252"/>
        <v>12.777060706860265</v>
      </c>
      <c r="Z169" s="2">
        <f t="shared" si="253"/>
        <v>3.9537351175920175</v>
      </c>
      <c r="AA169" s="3">
        <f t="shared" si="254"/>
        <v>1000</v>
      </c>
      <c r="AB169" s="1">
        <f t="shared" si="182"/>
        <v>1.5832618079323346E-3</v>
      </c>
      <c r="AC169" s="1">
        <f t="shared" si="258"/>
        <v>0</v>
      </c>
      <c r="AD169" s="64">
        <f t="shared" si="183"/>
        <v>0</v>
      </c>
      <c r="AE169" s="1">
        <f t="shared" si="257"/>
        <v>13.124984990551011</v>
      </c>
      <c r="AM169" s="1" t="s">
        <v>131</v>
      </c>
      <c r="AN169" s="1">
        <f>AM168</f>
        <v>1800</v>
      </c>
      <c r="AO169" s="1">
        <v>90</v>
      </c>
      <c r="AP169" s="1">
        <v>70</v>
      </c>
      <c r="AQ169" s="1">
        <f>AO169/2+AP169/2</f>
        <v>80</v>
      </c>
      <c r="AR169" s="1">
        <v>1706</v>
      </c>
      <c r="AS169" s="1">
        <v>2147</v>
      </c>
      <c r="AT169" s="1">
        <v>2561</v>
      </c>
      <c r="AU169" s="1">
        <v>2956</v>
      </c>
      <c r="AV169" s="1">
        <v>4044</v>
      </c>
      <c r="AW169" s="1">
        <v>1458</v>
      </c>
      <c r="AX169" s="1">
        <v>2216</v>
      </c>
      <c r="AY169" s="1">
        <v>2790</v>
      </c>
      <c r="AZ169" s="1">
        <v>3333</v>
      </c>
      <c r="BA169" s="1">
        <v>3855</v>
      </c>
      <c r="BB169" s="1">
        <v>5332</v>
      </c>
      <c r="BC169" s="1">
        <v>2102</v>
      </c>
      <c r="BD169" s="1">
        <v>3145</v>
      </c>
      <c r="BE169" s="1">
        <v>3974</v>
      </c>
      <c r="BF169" s="1">
        <v>4768</v>
      </c>
      <c r="BG169" s="1">
        <v>5533</v>
      </c>
      <c r="BH169" s="1">
        <v>7680</v>
      </c>
      <c r="BJ169" s="1">
        <f t="shared" ref="BJ169:BS172" si="261">AR169/($AQ169-20)/AR$132/$AN169*1000000</f>
        <v>52.654320987654323</v>
      </c>
      <c r="BK169" s="1">
        <f t="shared" si="261"/>
        <v>49.699074074074076</v>
      </c>
      <c r="BL169" s="1">
        <f t="shared" si="261"/>
        <v>47.425925925925917</v>
      </c>
      <c r="BM169" s="1">
        <f t="shared" si="261"/>
        <v>45.617283950617278</v>
      </c>
      <c r="BN169" s="1">
        <f t="shared" si="261"/>
        <v>41.604938271604937</v>
      </c>
      <c r="BO169" s="1">
        <f t="shared" si="261"/>
        <v>67.5</v>
      </c>
      <c r="BP169" s="1">
        <f t="shared" si="261"/>
        <v>68.395061728395063</v>
      </c>
      <c r="BQ169" s="1">
        <f t="shared" si="261"/>
        <v>64.583333333333329</v>
      </c>
      <c r="BR169" s="1">
        <f t="shared" si="261"/>
        <v>61.722222222222221</v>
      </c>
      <c r="BS169" s="1">
        <f t="shared" si="261"/>
        <v>59.49074074074074</v>
      </c>
      <c r="BT169" s="1">
        <f t="shared" ref="BT169:BZ172" si="262">BB169/($AQ169-20)/BB$132/$AN169*1000000</f>
        <v>54.855967078189302</v>
      </c>
      <c r="BU169" s="1">
        <f t="shared" si="262"/>
        <v>97.314814814814824</v>
      </c>
      <c r="BV169" s="1">
        <f t="shared" si="262"/>
        <v>97.067901234567898</v>
      </c>
      <c r="BW169" s="1">
        <f t="shared" si="262"/>
        <v>91.990740740740733</v>
      </c>
      <c r="BX169" s="1">
        <f t="shared" si="262"/>
        <v>88.296296296296305</v>
      </c>
      <c r="BY169" s="1">
        <f t="shared" si="262"/>
        <v>85.385802469135797</v>
      </c>
      <c r="BZ169" s="1">
        <f t="shared" si="262"/>
        <v>79.012345679012341</v>
      </c>
    </row>
    <row r="170" spans="1:78" ht="13.5" customHeight="1">
      <c r="K170" s="47"/>
      <c r="L170" s="47"/>
      <c r="M170" s="47"/>
      <c r="N170" s="47">
        <f>SUM(N160:N169)</f>
        <v>3562.4924952755059</v>
      </c>
      <c r="O170" s="2" t="s">
        <v>46</v>
      </c>
      <c r="P170" s="2"/>
      <c r="Q170" s="2"/>
      <c r="R170" s="49">
        <f>R150</f>
        <v>75</v>
      </c>
      <c r="S170" s="50" t="s">
        <v>45</v>
      </c>
      <c r="T170" s="2"/>
      <c r="U170" s="11">
        <f>U169</f>
        <v>64.310100615440788</v>
      </c>
      <c r="V170" s="47"/>
      <c r="W170" s="2"/>
      <c r="Y170" s="1">
        <f>N171</f>
        <v>13.124984990551011</v>
      </c>
      <c r="AE170" s="1">
        <f t="shared" si="257"/>
        <v>13.124984990551011</v>
      </c>
      <c r="AM170" s="1" t="s">
        <v>132</v>
      </c>
      <c r="AN170" s="1">
        <f>AN169</f>
        <v>1800</v>
      </c>
      <c r="AO170" s="1">
        <v>75</v>
      </c>
      <c r="AP170" s="1">
        <v>65</v>
      </c>
      <c r="AQ170" s="1">
        <f>AO170/2+AP170/2</f>
        <v>70</v>
      </c>
      <c r="AR170" s="1">
        <v>1341</v>
      </c>
      <c r="AS170" s="1">
        <v>1687</v>
      </c>
      <c r="AT170" s="1">
        <v>2011</v>
      </c>
      <c r="AU170" s="1">
        <v>2318</v>
      </c>
      <c r="AV170" s="1">
        <v>3157</v>
      </c>
      <c r="AW170" s="1">
        <v>1168</v>
      </c>
      <c r="AX170" s="1">
        <v>1739</v>
      </c>
      <c r="AY170" s="1">
        <v>2189</v>
      </c>
      <c r="AZ170" s="1">
        <v>2614</v>
      </c>
      <c r="BA170" s="1">
        <v>3022</v>
      </c>
      <c r="BB170" s="1">
        <v>4163</v>
      </c>
      <c r="BC170" s="1">
        <v>1681</v>
      </c>
      <c r="BD170" s="1">
        <v>2482</v>
      </c>
      <c r="BE170" s="1">
        <v>3128</v>
      </c>
      <c r="BF170" s="1">
        <v>3742</v>
      </c>
      <c r="BG170" s="1">
        <v>4331</v>
      </c>
      <c r="BH170" s="1">
        <v>5990</v>
      </c>
      <c r="BJ170" s="1">
        <f t="shared" si="261"/>
        <v>49.666666666666671</v>
      </c>
      <c r="BK170" s="1">
        <f t="shared" si="261"/>
        <v>46.861111111111114</v>
      </c>
      <c r="BL170" s="1">
        <f t="shared" si="261"/>
        <v>44.68888888888889</v>
      </c>
      <c r="BM170" s="1">
        <f t="shared" si="261"/>
        <v>42.925925925925924</v>
      </c>
      <c r="BN170" s="1">
        <f t="shared" si="261"/>
        <v>38.975308641975303</v>
      </c>
      <c r="BO170" s="1">
        <f t="shared" si="261"/>
        <v>64.888888888888886</v>
      </c>
      <c r="BP170" s="1">
        <f t="shared" si="261"/>
        <v>64.407407407407405</v>
      </c>
      <c r="BQ170" s="1">
        <f t="shared" si="261"/>
        <v>60.805555555555557</v>
      </c>
      <c r="BR170" s="1">
        <f t="shared" si="261"/>
        <v>58.088888888888889</v>
      </c>
      <c r="BS170" s="1">
        <f t="shared" si="261"/>
        <v>55.962962962962962</v>
      </c>
      <c r="BT170" s="1">
        <f t="shared" si="262"/>
        <v>51.395061728395063</v>
      </c>
      <c r="BU170" s="1">
        <f t="shared" si="262"/>
        <v>93.3888888888889</v>
      </c>
      <c r="BV170" s="1">
        <f t="shared" si="262"/>
        <v>91.925925925925938</v>
      </c>
      <c r="BW170" s="1">
        <f t="shared" si="262"/>
        <v>86.8888888888889</v>
      </c>
      <c r="BX170" s="1">
        <f t="shared" si="262"/>
        <v>83.155555555555566</v>
      </c>
      <c r="BY170" s="1">
        <f t="shared" si="262"/>
        <v>80.203703703703709</v>
      </c>
      <c r="BZ170" s="1">
        <f t="shared" si="262"/>
        <v>73.950617283950606</v>
      </c>
    </row>
    <row r="171" spans="1:78" ht="13.5" customHeight="1">
      <c r="K171" s="47"/>
      <c r="L171" s="2" t="s">
        <v>44</v>
      </c>
      <c r="M171" s="2"/>
      <c r="N171" s="47">
        <f>N170*2/1000+Y171</f>
        <v>13.124984990551011</v>
      </c>
      <c r="O171" s="2" t="s">
        <v>1</v>
      </c>
      <c r="P171" s="1">
        <f>SUM(P160:P169)</f>
        <v>83.93552648114553</v>
      </c>
      <c r="Q171" s="1" t="s">
        <v>43</v>
      </c>
      <c r="S171" s="47"/>
      <c r="U171" s="47"/>
      <c r="V171" s="47"/>
      <c r="W171" s="2"/>
      <c r="Y171" s="3">
        <f>Y151</f>
        <v>6</v>
      </c>
      <c r="Z171" s="3" t="s">
        <v>42</v>
      </c>
      <c r="AE171" s="1">
        <f>N171</f>
        <v>13.124984990551011</v>
      </c>
      <c r="AM171" s="1" t="s">
        <v>133</v>
      </c>
      <c r="AN171" s="1">
        <f>AN170</f>
        <v>1800</v>
      </c>
      <c r="AO171" s="1">
        <v>70</v>
      </c>
      <c r="AP171" s="1">
        <v>55</v>
      </c>
      <c r="AQ171" s="1">
        <f>AO171/2+AP171/2</f>
        <v>62.5</v>
      </c>
      <c r="AR171" s="1">
        <v>1082</v>
      </c>
      <c r="AS171" s="1">
        <v>1360</v>
      </c>
      <c r="AT171" s="1">
        <v>1620</v>
      </c>
      <c r="AU171" s="1">
        <v>1867</v>
      </c>
      <c r="AV171" s="1">
        <v>2532</v>
      </c>
      <c r="AW171" s="1">
        <v>944</v>
      </c>
      <c r="AX171" s="1">
        <v>1401</v>
      </c>
      <c r="AY171" s="1">
        <v>1763</v>
      </c>
      <c r="AZ171" s="1">
        <v>2104</v>
      </c>
      <c r="BA171" s="1">
        <v>2433</v>
      </c>
      <c r="BB171" s="1">
        <v>3339</v>
      </c>
      <c r="BC171" s="1">
        <v>1356</v>
      </c>
      <c r="BD171" s="1">
        <v>2010</v>
      </c>
      <c r="BE171" s="1">
        <v>2527</v>
      </c>
      <c r="BF171" s="1">
        <v>3016</v>
      </c>
      <c r="BG171" s="1">
        <v>3481</v>
      </c>
      <c r="BH171" s="1">
        <v>4800</v>
      </c>
      <c r="BJ171" s="1">
        <f t="shared" si="261"/>
        <v>47.145969498910667</v>
      </c>
      <c r="BK171" s="1">
        <f t="shared" si="261"/>
        <v>44.44444444444445</v>
      </c>
      <c r="BL171" s="1">
        <f t="shared" si="261"/>
        <v>42.352941176470587</v>
      </c>
      <c r="BM171" s="1">
        <f t="shared" si="261"/>
        <v>40.675381263616558</v>
      </c>
      <c r="BN171" s="1">
        <f t="shared" si="261"/>
        <v>36.775599128540314</v>
      </c>
      <c r="BO171" s="1">
        <f t="shared" si="261"/>
        <v>61.699346405228752</v>
      </c>
      <c r="BP171" s="1">
        <f t="shared" si="261"/>
        <v>61.045751633986924</v>
      </c>
      <c r="BQ171" s="1">
        <f t="shared" si="261"/>
        <v>57.614379084967325</v>
      </c>
      <c r="BR171" s="1">
        <f t="shared" si="261"/>
        <v>55.006535947712422</v>
      </c>
      <c r="BS171" s="1">
        <f t="shared" si="261"/>
        <v>53.006535947712429</v>
      </c>
      <c r="BT171" s="1">
        <f t="shared" si="262"/>
        <v>48.496732026143796</v>
      </c>
      <c r="BU171" s="1">
        <f t="shared" si="262"/>
        <v>88.627450980392169</v>
      </c>
      <c r="BV171" s="1">
        <f t="shared" si="262"/>
        <v>87.58169934640523</v>
      </c>
      <c r="BW171" s="1">
        <f t="shared" si="262"/>
        <v>82.581699346405216</v>
      </c>
      <c r="BX171" s="1">
        <f t="shared" si="262"/>
        <v>78.849673202614383</v>
      </c>
      <c r="BY171" s="1">
        <f t="shared" si="262"/>
        <v>75.838779956427032</v>
      </c>
      <c r="BZ171" s="1">
        <f t="shared" si="262"/>
        <v>69.716775599128539</v>
      </c>
    </row>
    <row r="172" spans="1:78" ht="13.5" customHeight="1">
      <c r="L172" s="60" t="s">
        <v>41</v>
      </c>
      <c r="N172" s="3">
        <f>N152</f>
        <v>15</v>
      </c>
      <c r="O172" s="1" t="s">
        <v>1</v>
      </c>
      <c r="AM172" s="1" t="s">
        <v>134</v>
      </c>
      <c r="AN172" s="1">
        <f>AN171</f>
        <v>1800</v>
      </c>
      <c r="AO172" s="1">
        <v>55</v>
      </c>
      <c r="AP172" s="1">
        <v>45</v>
      </c>
      <c r="AQ172" s="1">
        <f>AO172/2+AP172/2</f>
        <v>50</v>
      </c>
      <c r="AR172" s="1">
        <v>683</v>
      </c>
      <c r="AS172" s="1">
        <v>858</v>
      </c>
      <c r="AT172" s="1">
        <v>1020</v>
      </c>
      <c r="AU172" s="1">
        <v>1174</v>
      </c>
      <c r="AV172" s="1">
        <v>1578</v>
      </c>
      <c r="AW172" s="1">
        <v>610</v>
      </c>
      <c r="AX172" s="1">
        <v>882</v>
      </c>
      <c r="AY172" s="1">
        <v>1109</v>
      </c>
      <c r="AZ172" s="1">
        <v>1323</v>
      </c>
      <c r="BA172" s="1">
        <v>1528</v>
      </c>
      <c r="BB172" s="1">
        <v>2081</v>
      </c>
      <c r="BC172" s="1">
        <v>874</v>
      </c>
      <c r="BD172" s="1">
        <v>1279</v>
      </c>
      <c r="BE172" s="1">
        <v>1600</v>
      </c>
      <c r="BF172" s="1">
        <v>1899</v>
      </c>
      <c r="BG172" s="1">
        <v>2180</v>
      </c>
      <c r="BH172" s="1">
        <v>2987</v>
      </c>
      <c r="BJ172" s="1">
        <f t="shared" si="261"/>
        <v>42.160493827160487</v>
      </c>
      <c r="BK172" s="1">
        <f t="shared" si="261"/>
        <v>39.722222222222229</v>
      </c>
      <c r="BL172" s="1">
        <f t="shared" si="261"/>
        <v>37.777777777777779</v>
      </c>
      <c r="BM172" s="1">
        <f t="shared" si="261"/>
        <v>36.23456790123457</v>
      </c>
      <c r="BN172" s="1">
        <f t="shared" si="261"/>
        <v>32.469135802469133</v>
      </c>
      <c r="BO172" s="1">
        <f t="shared" si="261"/>
        <v>56.481481481481474</v>
      </c>
      <c r="BP172" s="1">
        <f t="shared" si="261"/>
        <v>54.444444444444436</v>
      </c>
      <c r="BQ172" s="1">
        <f t="shared" si="261"/>
        <v>51.342592592592595</v>
      </c>
      <c r="BR172" s="1">
        <f t="shared" si="261"/>
        <v>49</v>
      </c>
      <c r="BS172" s="1">
        <f t="shared" si="261"/>
        <v>47.160493827160494</v>
      </c>
      <c r="BT172" s="1">
        <f t="shared" si="262"/>
        <v>42.818930041152264</v>
      </c>
      <c r="BU172" s="1">
        <f t="shared" si="262"/>
        <v>80.925925925925924</v>
      </c>
      <c r="BV172" s="1">
        <f t="shared" si="262"/>
        <v>78.950617283950621</v>
      </c>
      <c r="BW172" s="1">
        <f t="shared" si="262"/>
        <v>74.074074074074076</v>
      </c>
      <c r="BX172" s="1">
        <f t="shared" si="262"/>
        <v>70.333333333333329</v>
      </c>
      <c r="BY172" s="1">
        <f t="shared" si="262"/>
        <v>67.283950617283949</v>
      </c>
      <c r="BZ172" s="1">
        <f t="shared" si="262"/>
        <v>61.460905349794238</v>
      </c>
    </row>
    <row r="173" spans="1:78" ht="13.5" customHeight="1">
      <c r="AM173" s="1">
        <v>2000</v>
      </c>
    </row>
    <row r="174" spans="1:78" ht="13.5" customHeight="1">
      <c r="AM174" s="1" t="s">
        <v>131</v>
      </c>
      <c r="AN174" s="1">
        <f>AM173</f>
        <v>2000</v>
      </c>
      <c r="AO174" s="1">
        <v>90</v>
      </c>
      <c r="AP174" s="1">
        <v>70</v>
      </c>
      <c r="AQ174" s="1">
        <f>AO174/2+AP174/2</f>
        <v>80</v>
      </c>
      <c r="AR174" s="1">
        <v>1895</v>
      </c>
      <c r="AS174" s="1">
        <v>2386</v>
      </c>
      <c r="AT174" s="1">
        <v>2846</v>
      </c>
      <c r="AU174" s="1">
        <v>3284</v>
      </c>
      <c r="AV174" s="1">
        <v>4493</v>
      </c>
      <c r="AW174" s="1">
        <v>1620</v>
      </c>
      <c r="AX174" s="1">
        <v>2462</v>
      </c>
      <c r="AY174" s="1">
        <v>3100</v>
      </c>
      <c r="AZ174" s="1">
        <v>3703</v>
      </c>
      <c r="BA174" s="1">
        <v>4284</v>
      </c>
      <c r="BB174" s="1">
        <v>5925</v>
      </c>
      <c r="BC174" s="1">
        <v>2335</v>
      </c>
      <c r="BD174" s="1">
        <v>3494</v>
      </c>
      <c r="BE174" s="1">
        <v>4416</v>
      </c>
      <c r="BF174" s="1">
        <v>5297</v>
      </c>
      <c r="BG174" s="1">
        <v>6147</v>
      </c>
      <c r="BH174" s="1">
        <v>8533</v>
      </c>
      <c r="BJ174" s="1">
        <f t="shared" ref="BJ174:BS177" si="263">AR174/($AQ174-20)/AR$132/$AN174*1000000</f>
        <v>52.638888888888886</v>
      </c>
      <c r="BK174" s="1">
        <f t="shared" si="263"/>
        <v>49.708333333333336</v>
      </c>
      <c r="BL174" s="1">
        <f t="shared" si="263"/>
        <v>47.433333333333323</v>
      </c>
      <c r="BM174" s="1">
        <f t="shared" si="263"/>
        <v>45.611111111111107</v>
      </c>
      <c r="BN174" s="1">
        <f t="shared" si="263"/>
        <v>41.601851851851855</v>
      </c>
      <c r="BO174" s="1">
        <f t="shared" si="263"/>
        <v>67.5</v>
      </c>
      <c r="BP174" s="1">
        <f t="shared" si="263"/>
        <v>68.388888888888886</v>
      </c>
      <c r="BQ174" s="1">
        <f t="shared" si="263"/>
        <v>64.583333333333329</v>
      </c>
      <c r="BR174" s="1">
        <f t="shared" si="263"/>
        <v>61.716666666666669</v>
      </c>
      <c r="BS174" s="1">
        <f t="shared" si="263"/>
        <v>59.5</v>
      </c>
      <c r="BT174" s="1">
        <f t="shared" ref="BT174:BZ177" si="264">BB174/($AQ174-20)/BB$132/$AN174*1000000</f>
        <v>54.861111111111114</v>
      </c>
      <c r="BU174" s="1">
        <f t="shared" si="264"/>
        <v>97.291666666666671</v>
      </c>
      <c r="BV174" s="1">
        <f t="shared" si="264"/>
        <v>97.055555555555557</v>
      </c>
      <c r="BW174" s="1">
        <f t="shared" si="264"/>
        <v>92</v>
      </c>
      <c r="BX174" s="1">
        <f t="shared" si="264"/>
        <v>88.283333333333331</v>
      </c>
      <c r="BY174" s="1">
        <f t="shared" si="264"/>
        <v>85.375</v>
      </c>
      <c r="BZ174" s="1">
        <f t="shared" si="264"/>
        <v>79.009259259259252</v>
      </c>
    </row>
    <row r="175" spans="1:78" ht="13.5" customHeight="1" thickBot="1">
      <c r="AM175" s="1" t="s">
        <v>132</v>
      </c>
      <c r="AN175" s="1">
        <f>AN174</f>
        <v>2000</v>
      </c>
      <c r="AO175" s="1">
        <v>75</v>
      </c>
      <c r="AP175" s="1">
        <v>65</v>
      </c>
      <c r="AQ175" s="1">
        <f>AO175/2+AP175/2</f>
        <v>70</v>
      </c>
      <c r="AR175" s="1">
        <v>1490</v>
      </c>
      <c r="AS175" s="1">
        <v>1874</v>
      </c>
      <c r="AT175" s="1">
        <v>2234</v>
      </c>
      <c r="AU175" s="1">
        <v>2576</v>
      </c>
      <c r="AV175" s="1">
        <v>3508</v>
      </c>
      <c r="AW175" s="1">
        <v>1298</v>
      </c>
      <c r="AX175" s="1">
        <v>1932</v>
      </c>
      <c r="AY175" s="1">
        <v>2432</v>
      </c>
      <c r="AZ175" s="1">
        <v>2904</v>
      </c>
      <c r="BA175" s="1">
        <v>3358</v>
      </c>
      <c r="BB175" s="1">
        <v>4626</v>
      </c>
      <c r="BC175" s="1">
        <v>1868</v>
      </c>
      <c r="BD175" s="1">
        <v>2758</v>
      </c>
      <c r="BE175" s="1">
        <v>3476</v>
      </c>
      <c r="BF175" s="1">
        <v>4158</v>
      </c>
      <c r="BG175" s="1">
        <v>4812</v>
      </c>
      <c r="BH175" s="1">
        <v>6656</v>
      </c>
      <c r="BJ175" s="1">
        <f t="shared" si="263"/>
        <v>49.666666666666664</v>
      </c>
      <c r="BK175" s="1">
        <f t="shared" si="263"/>
        <v>46.849999999999994</v>
      </c>
      <c r="BL175" s="1">
        <f t="shared" si="263"/>
        <v>44.68</v>
      </c>
      <c r="BM175" s="1">
        <f t="shared" si="263"/>
        <v>42.933333333333337</v>
      </c>
      <c r="BN175" s="1">
        <f t="shared" si="263"/>
        <v>38.977777777777781</v>
      </c>
      <c r="BO175" s="1">
        <f t="shared" si="263"/>
        <v>64.900000000000006</v>
      </c>
      <c r="BP175" s="1">
        <f t="shared" si="263"/>
        <v>64.399999999999991</v>
      </c>
      <c r="BQ175" s="1">
        <f t="shared" si="263"/>
        <v>60.8</v>
      </c>
      <c r="BR175" s="1">
        <f t="shared" si="263"/>
        <v>58.08</v>
      </c>
      <c r="BS175" s="1">
        <f t="shared" si="263"/>
        <v>55.966666666666669</v>
      </c>
      <c r="BT175" s="1">
        <f t="shared" si="264"/>
        <v>51.400000000000006</v>
      </c>
      <c r="BU175" s="1">
        <f t="shared" si="264"/>
        <v>93.399999999999991</v>
      </c>
      <c r="BV175" s="1">
        <f t="shared" si="264"/>
        <v>91.933333333333323</v>
      </c>
      <c r="BW175" s="1">
        <f t="shared" si="264"/>
        <v>86.899999999999991</v>
      </c>
      <c r="BX175" s="1">
        <f t="shared" si="264"/>
        <v>83.16</v>
      </c>
      <c r="BY175" s="1">
        <f t="shared" si="264"/>
        <v>80.2</v>
      </c>
      <c r="BZ175" s="1">
        <f t="shared" si="264"/>
        <v>73.955555555555563</v>
      </c>
    </row>
    <row r="176" spans="1:78" ht="13.5" customHeight="1">
      <c r="B176" s="14" t="s">
        <v>40</v>
      </c>
      <c r="C176" s="15"/>
      <c r="D176" s="15"/>
      <c r="E176" s="15"/>
      <c r="F176" s="15"/>
      <c r="G176" s="15"/>
      <c r="H176" s="15" t="s">
        <v>39</v>
      </c>
      <c r="I176" s="16"/>
      <c r="J176" s="14" t="s">
        <v>38</v>
      </c>
      <c r="K176" s="15"/>
      <c r="L176" s="15"/>
      <c r="M176" s="15"/>
      <c r="N176" s="15" t="s">
        <v>37</v>
      </c>
      <c r="O176" s="15"/>
      <c r="P176" s="15"/>
      <c r="Q176" s="15"/>
      <c r="R176" s="15"/>
      <c r="S176" s="16"/>
      <c r="T176" s="14" t="s">
        <v>36</v>
      </c>
      <c r="U176" s="15"/>
      <c r="V176" s="16"/>
      <c r="W176" s="14"/>
      <c r="X176" s="15"/>
      <c r="Y176" s="15"/>
      <c r="Z176" s="16"/>
      <c r="AM176" s="1" t="s">
        <v>133</v>
      </c>
      <c r="AN176" s="1">
        <f>AN175</f>
        <v>2000</v>
      </c>
      <c r="AO176" s="1">
        <v>70</v>
      </c>
      <c r="AP176" s="1">
        <v>55</v>
      </c>
      <c r="AQ176" s="1">
        <f>AO176/2+AP176/2</f>
        <v>62.5</v>
      </c>
      <c r="AR176" s="1">
        <v>1202</v>
      </c>
      <c r="AS176" s="1">
        <v>1511</v>
      </c>
      <c r="AT176" s="1">
        <v>1800</v>
      </c>
      <c r="AU176" s="1">
        <v>2075</v>
      </c>
      <c r="AV176" s="1">
        <v>2813</v>
      </c>
      <c r="AW176" s="1">
        <v>1049</v>
      </c>
      <c r="AX176" s="1">
        <v>1557</v>
      </c>
      <c r="AY176" s="1">
        <v>1959</v>
      </c>
      <c r="AZ176" s="1">
        <v>2338</v>
      </c>
      <c r="BA176" s="1">
        <v>2703</v>
      </c>
      <c r="BB176" s="1">
        <v>3710</v>
      </c>
      <c r="BC176" s="1">
        <v>1507</v>
      </c>
      <c r="BD176" s="1">
        <v>2234</v>
      </c>
      <c r="BE176" s="1">
        <v>2808</v>
      </c>
      <c r="BF176" s="1">
        <v>3351</v>
      </c>
      <c r="BG176" s="1">
        <v>3868</v>
      </c>
      <c r="BH176" s="1">
        <v>5334</v>
      </c>
      <c r="BJ176" s="1">
        <f t="shared" si="263"/>
        <v>47.13725490196078</v>
      </c>
      <c r="BK176" s="1">
        <f t="shared" si="263"/>
        <v>44.441176470588232</v>
      </c>
      <c r="BL176" s="1">
        <f t="shared" si="263"/>
        <v>42.352941176470587</v>
      </c>
      <c r="BM176" s="1">
        <f t="shared" si="263"/>
        <v>40.686274509803916</v>
      </c>
      <c r="BN176" s="1">
        <f t="shared" si="263"/>
        <v>36.771241830065364</v>
      </c>
      <c r="BO176" s="1">
        <f t="shared" si="263"/>
        <v>61.705882352941181</v>
      </c>
      <c r="BP176" s="1">
        <f t="shared" si="263"/>
        <v>61.058823529411761</v>
      </c>
      <c r="BQ176" s="1">
        <f t="shared" si="263"/>
        <v>57.617647058823529</v>
      </c>
      <c r="BR176" s="1">
        <f t="shared" si="263"/>
        <v>55.011764705882356</v>
      </c>
      <c r="BS176" s="1">
        <f t="shared" si="263"/>
        <v>53</v>
      </c>
      <c r="BT176" s="1">
        <f t="shared" si="264"/>
        <v>48.496732026143789</v>
      </c>
      <c r="BU176" s="1">
        <f t="shared" si="264"/>
        <v>88.64705882352942</v>
      </c>
      <c r="BV176" s="1">
        <f t="shared" si="264"/>
        <v>87.607843137254889</v>
      </c>
      <c r="BW176" s="1">
        <f t="shared" si="264"/>
        <v>82.588235294117666</v>
      </c>
      <c r="BX176" s="1">
        <f t="shared" si="264"/>
        <v>78.847058823529409</v>
      </c>
      <c r="BY176" s="1">
        <f t="shared" si="264"/>
        <v>75.843137254901976</v>
      </c>
      <c r="BZ176" s="1">
        <f t="shared" si="264"/>
        <v>69.725490196078425</v>
      </c>
    </row>
    <row r="177" spans="1:78" ht="13.5" customHeight="1">
      <c r="B177" s="17" t="s">
        <v>35</v>
      </c>
      <c r="C177" s="18" t="s">
        <v>22</v>
      </c>
      <c r="D177" s="18"/>
      <c r="E177" s="18" t="s">
        <v>34</v>
      </c>
      <c r="F177" s="18" t="s">
        <v>33</v>
      </c>
      <c r="G177" s="18" t="s">
        <v>7</v>
      </c>
      <c r="H177" s="18" t="s">
        <v>32</v>
      </c>
      <c r="I177" s="19" t="s">
        <v>22</v>
      </c>
      <c r="J177" s="17" t="s">
        <v>31</v>
      </c>
      <c r="K177" s="18"/>
      <c r="L177" s="18" t="s">
        <v>30</v>
      </c>
      <c r="M177" s="18"/>
      <c r="N177" s="18" t="s">
        <v>29</v>
      </c>
      <c r="O177" s="18"/>
      <c r="P177" s="18" t="s">
        <v>28</v>
      </c>
      <c r="Q177" s="20" t="s">
        <v>27</v>
      </c>
      <c r="R177" s="21" t="s">
        <v>26</v>
      </c>
      <c r="S177" s="22" t="s">
        <v>7</v>
      </c>
      <c r="T177" s="23" t="s">
        <v>25</v>
      </c>
      <c r="U177" s="24" t="s">
        <v>24</v>
      </c>
      <c r="V177" s="25" t="s">
        <v>7</v>
      </c>
      <c r="W177" s="26" t="s">
        <v>23</v>
      </c>
      <c r="X177" s="4" t="s">
        <v>22</v>
      </c>
      <c r="Y177" s="4" t="s">
        <v>21</v>
      </c>
      <c r="Z177" s="5" t="s">
        <v>20</v>
      </c>
      <c r="AM177" s="1" t="s">
        <v>134</v>
      </c>
      <c r="AN177" s="1">
        <f>AN176</f>
        <v>2000</v>
      </c>
      <c r="AO177" s="1">
        <v>55</v>
      </c>
      <c r="AP177" s="1">
        <v>45</v>
      </c>
      <c r="AQ177" s="1">
        <f>AO177/2+AP177/2</f>
        <v>50</v>
      </c>
      <c r="AR177" s="1">
        <v>759</v>
      </c>
      <c r="AS177" s="1">
        <v>953</v>
      </c>
      <c r="AT177" s="1">
        <v>1134</v>
      </c>
      <c r="AU177" s="1">
        <v>1305</v>
      </c>
      <c r="AV177" s="1">
        <v>1753</v>
      </c>
      <c r="AW177" s="1">
        <v>678</v>
      </c>
      <c r="AX177" s="1">
        <v>980</v>
      </c>
      <c r="AY177" s="1">
        <v>1232</v>
      </c>
      <c r="AZ177" s="1">
        <v>1470</v>
      </c>
      <c r="BA177" s="1">
        <v>1698</v>
      </c>
      <c r="BB177" s="1">
        <v>2312</v>
      </c>
      <c r="BC177" s="1">
        <v>971</v>
      </c>
      <c r="BD177" s="1">
        <v>1421</v>
      </c>
      <c r="BE177" s="1">
        <v>1778</v>
      </c>
      <c r="BF177" s="1">
        <v>2110</v>
      </c>
      <c r="BG177" s="1">
        <v>2423</v>
      </c>
      <c r="BH177" s="1">
        <v>3318</v>
      </c>
      <c r="BJ177" s="1">
        <f t="shared" si="263"/>
        <v>42.166666666666664</v>
      </c>
      <c r="BK177" s="1">
        <f t="shared" si="263"/>
        <v>39.708333333333336</v>
      </c>
      <c r="BL177" s="1">
        <f t="shared" si="263"/>
        <v>37.799999999999997</v>
      </c>
      <c r="BM177" s="1">
        <f t="shared" si="263"/>
        <v>36.25</v>
      </c>
      <c r="BN177" s="1">
        <f t="shared" si="263"/>
        <v>32.462962962962969</v>
      </c>
      <c r="BO177" s="1">
        <f t="shared" si="263"/>
        <v>56.500000000000007</v>
      </c>
      <c r="BP177" s="1">
        <f t="shared" si="263"/>
        <v>54.444444444444436</v>
      </c>
      <c r="BQ177" s="1">
        <f t="shared" si="263"/>
        <v>51.333333333333329</v>
      </c>
      <c r="BR177" s="1">
        <f t="shared" si="263"/>
        <v>49.000000000000007</v>
      </c>
      <c r="BS177" s="1">
        <f t="shared" si="263"/>
        <v>47.166666666666671</v>
      </c>
      <c r="BT177" s="1">
        <f t="shared" si="264"/>
        <v>42.81481481481481</v>
      </c>
      <c r="BU177" s="1">
        <f t="shared" si="264"/>
        <v>80.916666666666657</v>
      </c>
      <c r="BV177" s="1">
        <f t="shared" si="264"/>
        <v>78.944444444444443</v>
      </c>
      <c r="BW177" s="1">
        <f t="shared" si="264"/>
        <v>74.083333333333343</v>
      </c>
      <c r="BX177" s="1">
        <f t="shared" si="264"/>
        <v>70.333333333333329</v>
      </c>
      <c r="BY177" s="1">
        <f t="shared" si="264"/>
        <v>67.305555555555543</v>
      </c>
      <c r="BZ177" s="1">
        <f t="shared" si="264"/>
        <v>61.444444444444443</v>
      </c>
    </row>
    <row r="178" spans="1:78" ht="13.5" customHeight="1">
      <c r="B178" s="54" t="s">
        <v>3</v>
      </c>
      <c r="C178" s="28" t="s">
        <v>17</v>
      </c>
      <c r="D178" s="20" t="s">
        <v>13</v>
      </c>
      <c r="E178" s="20" t="s">
        <v>19</v>
      </c>
      <c r="F178" s="28" t="s">
        <v>19</v>
      </c>
      <c r="G178" s="20" t="s">
        <v>3</v>
      </c>
      <c r="H178" s="20" t="s">
        <v>19</v>
      </c>
      <c r="I178" s="29" t="s">
        <v>12</v>
      </c>
      <c r="J178" s="55" t="s">
        <v>18</v>
      </c>
      <c r="K178" s="20" t="s">
        <v>17</v>
      </c>
      <c r="L178" s="56" t="s">
        <v>16</v>
      </c>
      <c r="M178" s="20" t="s">
        <v>15</v>
      </c>
      <c r="N178" s="20" t="s">
        <v>14</v>
      </c>
      <c r="O178" s="20" t="s">
        <v>13</v>
      </c>
      <c r="P178" s="20" t="s">
        <v>12</v>
      </c>
      <c r="Q178" s="20" t="s">
        <v>11</v>
      </c>
      <c r="R178" s="21" t="s">
        <v>11</v>
      </c>
      <c r="S178" s="22" t="s">
        <v>10</v>
      </c>
      <c r="T178" s="23" t="s">
        <v>9</v>
      </c>
      <c r="U178" s="24" t="s">
        <v>9</v>
      </c>
      <c r="V178" s="33" t="s">
        <v>8</v>
      </c>
      <c r="W178" s="34" t="s">
        <v>7</v>
      </c>
      <c r="X178" s="4" t="s">
        <v>6</v>
      </c>
      <c r="Y178" s="6" t="s">
        <v>5</v>
      </c>
      <c r="Z178" s="7" t="s">
        <v>5</v>
      </c>
    </row>
    <row r="179" spans="1:78" ht="13.5" customHeight="1" thickBot="1">
      <c r="B179" s="57"/>
      <c r="C179" s="3">
        <f>C159</f>
        <v>1.05</v>
      </c>
      <c r="D179" s="37"/>
      <c r="E179" s="38"/>
      <c r="F179" s="38"/>
      <c r="G179" s="37"/>
      <c r="H179" s="37"/>
      <c r="I179" s="39"/>
      <c r="J179" s="58" t="s">
        <v>4</v>
      </c>
      <c r="K179" s="44"/>
      <c r="L179" s="59"/>
      <c r="M179" s="37"/>
      <c r="N179" s="37"/>
      <c r="O179" s="37"/>
      <c r="P179" s="37"/>
      <c r="Q179" s="42"/>
      <c r="R179" s="42"/>
      <c r="S179" s="52" t="s">
        <v>3</v>
      </c>
      <c r="T179" s="43"/>
      <c r="U179" s="44"/>
      <c r="V179" s="39" t="s">
        <v>3</v>
      </c>
      <c r="W179" s="45" t="s">
        <v>3</v>
      </c>
      <c r="X179" s="8" t="s">
        <v>2</v>
      </c>
      <c r="Y179" s="9" t="s">
        <v>1</v>
      </c>
      <c r="Z179" s="13" t="s">
        <v>0</v>
      </c>
    </row>
    <row r="180" spans="1:78" ht="13.5" customHeight="1">
      <c r="A180" s="1">
        <v>1</v>
      </c>
      <c r="B180" s="3">
        <f t="shared" ref="B180:B189" si="265">B160</f>
        <v>1000</v>
      </c>
      <c r="C180" s="1">
        <f t="shared" ref="C180:C189" si="266">IF(B180&lt;1,0.000001,C160*(1+AB160))</f>
        <v>3.1009889325614024E-2</v>
      </c>
      <c r="D180" s="1">
        <f t="shared" si="195"/>
        <v>0.85974992694095986</v>
      </c>
      <c r="E180" s="1">
        <f t="shared" ref="E180:E189" si="267">R180</f>
        <v>72.693489463999242</v>
      </c>
      <c r="F180" s="1">
        <f t="shared" ref="F180:F189" si="268">F160</f>
        <v>20</v>
      </c>
      <c r="G180" s="1">
        <f t="shared" ref="G180:G189" si="269">(E180-F180)*C180*(1-D180)*4200</f>
        <v>962.51955619368437</v>
      </c>
      <c r="H180" s="1">
        <f t="shared" ref="H180:H189" si="270">(E180-F180)*D180+F180</f>
        <v>65.303223716937595</v>
      </c>
      <c r="I180" s="1">
        <f t="shared" ref="I180:I189" si="271">B180*0.001*6/C180</f>
        <v>193.48666281901328</v>
      </c>
      <c r="J180" s="3">
        <f t="shared" ref="J180:J189" si="272">J160</f>
        <v>10</v>
      </c>
      <c r="K180" s="47">
        <f t="shared" ref="K180:K189" si="273">K179+C180</f>
        <v>3.1009889325614024E-2</v>
      </c>
      <c r="L180" s="3">
        <f t="shared" ref="L180:L189" si="274">L160</f>
        <v>3</v>
      </c>
      <c r="M180" s="47">
        <f t="shared" ref="M180:M189" si="275">K180/(J180*J180*3.14/4000)</f>
        <v>0.39503043726896847</v>
      </c>
      <c r="N180" s="47">
        <f t="shared" ref="N180:N189" si="276">L180*26400/J180^1.27*M180^1.83*$N$69</f>
        <v>971.5588641580074</v>
      </c>
      <c r="O180" s="1">
        <f t="shared" ref="O180:O189" si="277">EXP(-(J180+2)*3.14/1000*$O$66/(M180*J180*J180*3.14/4000*4200)*L180)</f>
        <v>0.99135829716089285</v>
      </c>
      <c r="P180" s="1">
        <f t="shared" ref="P180:P189" si="278">L180/M180</f>
        <v>7.5943515156462711</v>
      </c>
      <c r="Q180" s="1">
        <f t="shared" ref="Q180:Q189" si="279">R181</f>
        <v>73.152820342459222</v>
      </c>
      <c r="R180" s="1">
        <f t="shared" ref="R180:R189" si="280">(Q180-F180)*O180+F180</f>
        <v>72.693489463999242</v>
      </c>
      <c r="S180" s="47">
        <f t="shared" ref="S180:S189" si="281">K180*(1-O180)*4200*(Q180-F180)</f>
        <v>59.823958760500652</v>
      </c>
      <c r="T180" s="1">
        <f t="shared" ref="T180:T189" si="282">(U179*K179+H180*C180)/K180</f>
        <v>65.303223716937595</v>
      </c>
      <c r="U180" s="47">
        <f t="shared" ref="U180:U189" si="283">(T180-F180)*O180+F180</f>
        <v>64.911726719922228</v>
      </c>
      <c r="V180" s="47">
        <f t="shared" ref="V180:V189" si="284">K180*(1-O180)*4200*(T180-F180)</f>
        <v>50.989169904778301</v>
      </c>
      <c r="W180" s="2">
        <f t="shared" si="214"/>
        <v>962.52955619368436</v>
      </c>
      <c r="X180" s="1">
        <f t="shared" ref="X180:X189" si="285">C180*3600</f>
        <v>111.63560157221049</v>
      </c>
      <c r="Y180" s="1">
        <f t="shared" ref="Y180:Y189" si="286">Y181-2*N180/1000</f>
        <v>6</v>
      </c>
      <c r="Z180" s="2">
        <f t="shared" ref="Z180:Z189" si="287">-1.1-1.8*LOG10(Y180/X180/X180)</f>
        <v>4.8714175305421996</v>
      </c>
      <c r="AA180" s="3">
        <f t="shared" ref="AA180:AA189" si="288">AA160</f>
        <v>1000</v>
      </c>
      <c r="AB180" s="1">
        <f t="shared" ref="AB180" si="289">((AA180/W180)-1)*AB$23+AC180+AD180</f>
        <v>3.892913580180557E-2</v>
      </c>
      <c r="AC180" s="1">
        <f>((N192/N191)-1)*AB$24</f>
        <v>0</v>
      </c>
      <c r="AD180" s="64">
        <f t="shared" ref="AD180" si="290">(AC$21-(X180/1000/SQRT(Y180/104))*1000/B180)*AB$21</f>
        <v>0</v>
      </c>
      <c r="AE180" s="1">
        <f t="shared" ref="AE180:AE190" si="291">AE181</f>
        <v>13.578093756832939</v>
      </c>
    </row>
    <row r="181" spans="1:78" ht="13.5" customHeight="1">
      <c r="A181" s="1">
        <v>2</v>
      </c>
      <c r="B181" s="3">
        <f t="shared" si="265"/>
        <v>1000</v>
      </c>
      <c r="C181" s="1">
        <f t="shared" si="266"/>
        <v>2.9601897242933412E-2</v>
      </c>
      <c r="D181" s="1">
        <f t="shared" si="195"/>
        <v>0.85315687435805698</v>
      </c>
      <c r="E181" s="1">
        <f t="shared" si="267"/>
        <v>73.152820342459222</v>
      </c>
      <c r="F181" s="1">
        <f t="shared" si="268"/>
        <v>20</v>
      </c>
      <c r="G181" s="1">
        <f t="shared" si="269"/>
        <v>970.3954931307145</v>
      </c>
      <c r="H181" s="1">
        <f t="shared" si="270"/>
        <v>65.347694066687865</v>
      </c>
      <c r="I181" s="1">
        <f t="shared" si="271"/>
        <v>202.68971109384972</v>
      </c>
      <c r="J181" s="3">
        <f t="shared" si="272"/>
        <v>14.142135623730951</v>
      </c>
      <c r="K181" s="47">
        <f t="shared" si="273"/>
        <v>6.0611786568547432E-2</v>
      </c>
      <c r="L181" s="3">
        <f t="shared" si="274"/>
        <v>3</v>
      </c>
      <c r="M181" s="47">
        <f t="shared" si="275"/>
        <v>0.38606233483151225</v>
      </c>
      <c r="N181" s="47">
        <f t="shared" si="276"/>
        <v>599.87981590078903</v>
      </c>
      <c r="O181" s="1">
        <f t="shared" si="277"/>
        <v>0.99404462511221536</v>
      </c>
      <c r="P181" s="1">
        <f t="shared" si="278"/>
        <v>7.7707658306249403</v>
      </c>
      <c r="Q181" s="1">
        <f t="shared" si="279"/>
        <v>73.471261751914724</v>
      </c>
      <c r="R181" s="1">
        <f t="shared" si="280"/>
        <v>73.152820342459222</v>
      </c>
      <c r="S181" s="47">
        <f t="shared" si="281"/>
        <v>81.065471526920675</v>
      </c>
      <c r="T181" s="1">
        <f t="shared" si="282"/>
        <v>65.124646703490697</v>
      </c>
      <c r="U181" s="47">
        <f t="shared" si="283"/>
        <v>64.85591251569258</v>
      </c>
      <c r="V181" s="47">
        <f t="shared" si="284"/>
        <v>68.411528784865283</v>
      </c>
      <c r="W181" s="2">
        <f t="shared" si="214"/>
        <v>970.40549313071449</v>
      </c>
      <c r="X181" s="1">
        <f t="shared" si="285"/>
        <v>106.56683007456029</v>
      </c>
      <c r="Y181" s="1">
        <f t="shared" si="286"/>
        <v>7.9431177283160146</v>
      </c>
      <c r="Z181" s="2">
        <f t="shared" si="287"/>
        <v>4.5794555719466228</v>
      </c>
      <c r="AA181" s="3">
        <f t="shared" si="288"/>
        <v>1000</v>
      </c>
      <c r="AB181" s="1">
        <f t="shared" si="182"/>
        <v>3.0497052086760013E-2</v>
      </c>
      <c r="AC181" s="1">
        <f t="shared" ref="AC181:AC189" si="292">AC180</f>
        <v>0</v>
      </c>
      <c r="AD181" s="64">
        <f t="shared" si="183"/>
        <v>0</v>
      </c>
      <c r="AE181" s="1">
        <f t="shared" si="291"/>
        <v>13.578093756832939</v>
      </c>
    </row>
    <row r="182" spans="1:78" ht="13.5" customHeight="1">
      <c r="A182" s="1">
        <v>3</v>
      </c>
      <c r="B182" s="3">
        <f t="shared" si="265"/>
        <v>1000</v>
      </c>
      <c r="C182" s="1">
        <f t="shared" si="266"/>
        <v>2.8684437139509331E-2</v>
      </c>
      <c r="D182" s="1">
        <f t="shared" si="195"/>
        <v>0.84852424799498871</v>
      </c>
      <c r="E182" s="1">
        <f t="shared" si="267"/>
        <v>73.471261751914724</v>
      </c>
      <c r="F182" s="1">
        <f t="shared" si="268"/>
        <v>20</v>
      </c>
      <c r="G182" s="1">
        <f t="shared" si="269"/>
        <v>975.79631157788481</v>
      </c>
      <c r="H182" s="1">
        <f t="shared" si="270"/>
        <v>65.371662167386646</v>
      </c>
      <c r="I182" s="1">
        <f t="shared" si="271"/>
        <v>209.1726594047658</v>
      </c>
      <c r="J182" s="3">
        <f t="shared" si="272"/>
        <v>17.320508075688775</v>
      </c>
      <c r="K182" s="47">
        <f t="shared" si="273"/>
        <v>8.929622370805676E-2</v>
      </c>
      <c r="L182" s="3">
        <f t="shared" si="274"/>
        <v>3</v>
      </c>
      <c r="M182" s="47">
        <f t="shared" si="275"/>
        <v>0.37917717073484813</v>
      </c>
      <c r="N182" s="47">
        <f t="shared" si="276"/>
        <v>448.68793362919985</v>
      </c>
      <c r="O182" s="1">
        <f t="shared" si="277"/>
        <v>0.9951590150874482</v>
      </c>
      <c r="P182" s="1">
        <f t="shared" si="278"/>
        <v>7.9118687292960654</v>
      </c>
      <c r="Q182" s="1">
        <f t="shared" si="279"/>
        <v>73.731374525322479</v>
      </c>
      <c r="R182" s="1">
        <f t="shared" si="280"/>
        <v>73.471261751914724</v>
      </c>
      <c r="S182" s="47">
        <f t="shared" si="281"/>
        <v>97.553771294876825</v>
      </c>
      <c r="T182" s="1">
        <f t="shared" si="282"/>
        <v>65.021585685838161</v>
      </c>
      <c r="U182" s="47">
        <f t="shared" si="283"/>
        <v>64.803636868793859</v>
      </c>
      <c r="V182" s="47">
        <f t="shared" si="284"/>
        <v>81.740426559515726</v>
      </c>
      <c r="W182" s="2">
        <f t="shared" si="214"/>
        <v>975.8063115778848</v>
      </c>
      <c r="X182" s="1">
        <f t="shared" si="285"/>
        <v>103.2639737022336</v>
      </c>
      <c r="Y182" s="1">
        <f t="shared" si="286"/>
        <v>9.142877360117593</v>
      </c>
      <c r="Z182" s="2">
        <f t="shared" si="287"/>
        <v>4.4202665894924014</v>
      </c>
      <c r="AA182" s="3">
        <f t="shared" si="288"/>
        <v>1000</v>
      </c>
      <c r="AB182" s="1">
        <f t="shared" si="182"/>
        <v>2.4793535494757935E-2</v>
      </c>
      <c r="AC182" s="1">
        <f t="shared" si="292"/>
        <v>0</v>
      </c>
      <c r="AD182" s="64">
        <f t="shared" si="183"/>
        <v>0</v>
      </c>
      <c r="AE182" s="1">
        <f t="shared" si="291"/>
        <v>13.578093756832939</v>
      </c>
    </row>
    <row r="183" spans="1:78" ht="13.5" customHeight="1">
      <c r="A183" s="1">
        <v>4</v>
      </c>
      <c r="B183" s="3">
        <f t="shared" si="265"/>
        <v>1000</v>
      </c>
      <c r="C183" s="1">
        <f t="shared" si="266"/>
        <v>2.7968669942528272E-2</v>
      </c>
      <c r="D183" s="1">
        <f t="shared" si="195"/>
        <v>0.84470636391215193</v>
      </c>
      <c r="E183" s="1">
        <f t="shared" si="267"/>
        <v>73.731374525322479</v>
      </c>
      <c r="F183" s="1">
        <f t="shared" si="268"/>
        <v>20</v>
      </c>
      <c r="G183" s="1">
        <f t="shared" si="269"/>
        <v>980.17295130249954</v>
      </c>
      <c r="H183" s="1">
        <f t="shared" si="270"/>
        <v>65.387234003287176</v>
      </c>
      <c r="I183" s="1">
        <f t="shared" si="271"/>
        <v>214.52575372118753</v>
      </c>
      <c r="J183" s="3">
        <f t="shared" si="272"/>
        <v>20</v>
      </c>
      <c r="K183" s="47">
        <f t="shared" si="273"/>
        <v>0.11726489365058504</v>
      </c>
      <c r="L183" s="3">
        <f t="shared" si="274"/>
        <v>3</v>
      </c>
      <c r="M183" s="47">
        <f t="shared" si="275"/>
        <v>0.37345507532033451</v>
      </c>
      <c r="N183" s="47">
        <f t="shared" si="276"/>
        <v>363.51581493264712</v>
      </c>
      <c r="O183" s="1">
        <f t="shared" si="277"/>
        <v>0.99580102890613809</v>
      </c>
      <c r="P183" s="1">
        <f t="shared" si="278"/>
        <v>8.0330947368347392</v>
      </c>
      <c r="Q183" s="1">
        <f t="shared" si="279"/>
        <v>73.957942365599905</v>
      </c>
      <c r="R183" s="1">
        <f t="shared" si="280"/>
        <v>73.731374525322479</v>
      </c>
      <c r="S183" s="47">
        <f t="shared" si="281"/>
        <v>111.58750551805302</v>
      </c>
      <c r="T183" s="1">
        <f t="shared" si="282"/>
        <v>64.942829726314244</v>
      </c>
      <c r="U183" s="47">
        <f t="shared" si="283"/>
        <v>64.754116083417102</v>
      </c>
      <c r="V183" s="47">
        <f t="shared" si="284"/>
        <v>92.943838111945595</v>
      </c>
      <c r="W183" s="2">
        <f t="shared" si="214"/>
        <v>980.18295130249953</v>
      </c>
      <c r="X183" s="1">
        <f t="shared" si="285"/>
        <v>100.68721179310178</v>
      </c>
      <c r="Y183" s="1">
        <f t="shared" si="286"/>
        <v>10.040253227375993</v>
      </c>
      <c r="Z183" s="2">
        <f t="shared" si="287"/>
        <v>4.3075671332225003</v>
      </c>
      <c r="AA183" s="3">
        <f t="shared" si="288"/>
        <v>1000</v>
      </c>
      <c r="AB183" s="1">
        <f t="shared" si="182"/>
        <v>2.0217703920647478E-2</v>
      </c>
      <c r="AC183" s="1">
        <f t="shared" si="292"/>
        <v>0</v>
      </c>
      <c r="AD183" s="64">
        <f t="shared" si="183"/>
        <v>0</v>
      </c>
      <c r="AE183" s="1">
        <f t="shared" si="291"/>
        <v>13.578093756832939</v>
      </c>
    </row>
    <row r="184" spans="1:78" ht="13.5" customHeight="1">
      <c r="A184" s="1">
        <v>5</v>
      </c>
      <c r="B184" s="3">
        <f t="shared" si="265"/>
        <v>1000</v>
      </c>
      <c r="C184" s="1">
        <f t="shared" si="266"/>
        <v>2.7368603297050126E-2</v>
      </c>
      <c r="D184" s="1">
        <f t="shared" si="195"/>
        <v>0.84135732029819488</v>
      </c>
      <c r="E184" s="1">
        <f t="shared" si="267"/>
        <v>73.957942365599905</v>
      </c>
      <c r="F184" s="1">
        <f t="shared" si="268"/>
        <v>20</v>
      </c>
      <c r="G184" s="1">
        <f t="shared" si="269"/>
        <v>983.95976937491298</v>
      </c>
      <c r="H184" s="1">
        <f t="shared" si="270"/>
        <v>65.397909797525585</v>
      </c>
      <c r="I184" s="1">
        <f t="shared" si="271"/>
        <v>219.22930939799542</v>
      </c>
      <c r="J184" s="3">
        <f t="shared" si="272"/>
        <v>22.360679774997898</v>
      </c>
      <c r="K184" s="47">
        <f t="shared" si="273"/>
        <v>0.14463349694763517</v>
      </c>
      <c r="L184" s="3">
        <f t="shared" si="274"/>
        <v>3</v>
      </c>
      <c r="M184" s="47">
        <f t="shared" si="275"/>
        <v>0.36849298585384749</v>
      </c>
      <c r="N184" s="47">
        <f t="shared" si="276"/>
        <v>307.86103473393916</v>
      </c>
      <c r="O184" s="1">
        <f t="shared" si="277"/>
        <v>0.99622947278474672</v>
      </c>
      <c r="P184" s="1">
        <f t="shared" si="278"/>
        <v>8.1412675821999674</v>
      </c>
      <c r="Q184" s="1">
        <f t="shared" si="279"/>
        <v>74.162162272485276</v>
      </c>
      <c r="R184" s="1">
        <f t="shared" si="280"/>
        <v>73.957942365599905</v>
      </c>
      <c r="S184" s="47">
        <f t="shared" si="281"/>
        <v>124.05556497243649</v>
      </c>
      <c r="T184" s="1">
        <f t="shared" si="282"/>
        <v>64.875939417142817</v>
      </c>
      <c r="U184" s="47">
        <f t="shared" si="283"/>
        <v>64.706733466260431</v>
      </c>
      <c r="V184" s="47">
        <f t="shared" si="284"/>
        <v>102.78596319797616</v>
      </c>
      <c r="W184" s="2">
        <f t="shared" si="214"/>
        <v>983.96976937491297</v>
      </c>
      <c r="X184" s="1">
        <f t="shared" si="285"/>
        <v>98.526971869380446</v>
      </c>
      <c r="Y184" s="1">
        <f t="shared" si="286"/>
        <v>10.767284857241288</v>
      </c>
      <c r="Z184" s="2">
        <f t="shared" si="287"/>
        <v>4.2190073222844653</v>
      </c>
      <c r="AA184" s="3">
        <f t="shared" si="288"/>
        <v>1000</v>
      </c>
      <c r="AB184" s="1">
        <f t="shared" ref="AB184:AB247" si="293">((AA184/W184)-1)*AB$23+AC184+AD184</f>
        <v>1.6291385288463189E-2</v>
      </c>
      <c r="AC184" s="1">
        <f t="shared" si="292"/>
        <v>0</v>
      </c>
      <c r="AD184" s="64">
        <f t="shared" ref="AD184:AD247" si="294">(AC$21-(X184/1000/SQRT(Y184/104))*1000/B184)*AB$21</f>
        <v>0</v>
      </c>
      <c r="AE184" s="1">
        <f t="shared" si="291"/>
        <v>13.578093756832939</v>
      </c>
    </row>
    <row r="185" spans="1:78" ht="13.5" customHeight="1">
      <c r="A185" s="1">
        <v>6</v>
      </c>
      <c r="B185" s="3">
        <f t="shared" si="265"/>
        <v>1000</v>
      </c>
      <c r="C185" s="1">
        <f t="shared" si="266"/>
        <v>2.6845536875635911E-2</v>
      </c>
      <c r="D185" s="1">
        <f t="shared" si="195"/>
        <v>0.8383204866044448</v>
      </c>
      <c r="E185" s="1">
        <f t="shared" si="267"/>
        <v>74.162162272485276</v>
      </c>
      <c r="F185" s="1">
        <f t="shared" si="268"/>
        <v>20</v>
      </c>
      <c r="G185" s="1">
        <f t="shared" si="269"/>
        <v>987.35282143853499</v>
      </c>
      <c r="H185" s="1">
        <f t="shared" si="270"/>
        <v>65.405250231818755</v>
      </c>
      <c r="I185" s="1">
        <f t="shared" si="271"/>
        <v>223.50083843714799</v>
      </c>
      <c r="J185" s="3">
        <f t="shared" si="272"/>
        <v>24.494897427831781</v>
      </c>
      <c r="K185" s="47">
        <f t="shared" si="273"/>
        <v>0.17147903382327107</v>
      </c>
      <c r="L185" s="3">
        <f t="shared" si="274"/>
        <v>3</v>
      </c>
      <c r="M185" s="47">
        <f t="shared" si="275"/>
        <v>0.36407438179038443</v>
      </c>
      <c r="N185" s="47">
        <f t="shared" si="276"/>
        <v>268.21747611927486</v>
      </c>
      <c r="O185" s="1">
        <f t="shared" si="277"/>
        <v>0.99654060189438443</v>
      </c>
      <c r="P185" s="1">
        <f t="shared" si="278"/>
        <v>8.2400744189885025</v>
      </c>
      <c r="Q185" s="1">
        <f t="shared" si="279"/>
        <v>74.350181186321095</v>
      </c>
      <c r="R185" s="1">
        <f t="shared" si="280"/>
        <v>74.162162272485276</v>
      </c>
      <c r="S185" s="47">
        <f t="shared" si="281"/>
        <v>135.41346707728428</v>
      </c>
      <c r="T185" s="1">
        <f t="shared" si="282"/>
        <v>64.816088278740736</v>
      </c>
      <c r="U185" s="47">
        <f t="shared" si="283"/>
        <v>64.661051587848164</v>
      </c>
      <c r="V185" s="47">
        <f t="shared" si="284"/>
        <v>111.65927623794749</v>
      </c>
      <c r="W185" s="2">
        <f t="shared" si="214"/>
        <v>987.36282143853498</v>
      </c>
      <c r="X185" s="1">
        <f t="shared" si="285"/>
        <v>96.643932752289274</v>
      </c>
      <c r="Y185" s="1">
        <f t="shared" si="286"/>
        <v>11.383006926709166</v>
      </c>
      <c r="Z185" s="2">
        <f t="shared" si="287"/>
        <v>4.1453659398872187</v>
      </c>
      <c r="AA185" s="3">
        <f t="shared" si="288"/>
        <v>1000</v>
      </c>
      <c r="AB185" s="1">
        <f t="shared" si="293"/>
        <v>1.2798920809123926E-2</v>
      </c>
      <c r="AC185" s="1">
        <f t="shared" si="292"/>
        <v>0</v>
      </c>
      <c r="AD185" s="64">
        <f t="shared" si="294"/>
        <v>0</v>
      </c>
      <c r="AE185" s="1">
        <f t="shared" si="291"/>
        <v>13.578093756832939</v>
      </c>
    </row>
    <row r="186" spans="1:78" ht="13.5" customHeight="1">
      <c r="A186" s="1">
        <v>7</v>
      </c>
      <c r="B186" s="3">
        <f t="shared" si="265"/>
        <v>1000</v>
      </c>
      <c r="C186" s="1">
        <f t="shared" si="266"/>
        <v>2.6378277844628512E-2</v>
      </c>
      <c r="D186" s="1">
        <f t="shared" si="195"/>
        <v>0.83550977846816932</v>
      </c>
      <c r="E186" s="1">
        <f t="shared" si="267"/>
        <v>74.350181186321095</v>
      </c>
      <c r="F186" s="1">
        <f t="shared" si="268"/>
        <v>20</v>
      </c>
      <c r="G186" s="1">
        <f t="shared" si="269"/>
        <v>990.45970216078524</v>
      </c>
      <c r="H186" s="1">
        <f t="shared" si="270"/>
        <v>65.410107842688006</v>
      </c>
      <c r="I186" s="1">
        <f t="shared" si="271"/>
        <v>227.45988329263875</v>
      </c>
      <c r="J186" s="3">
        <f t="shared" si="272"/>
        <v>26.457513110645905</v>
      </c>
      <c r="K186" s="47">
        <f t="shared" si="273"/>
        <v>0.19785731166789958</v>
      </c>
      <c r="L186" s="3">
        <f t="shared" si="274"/>
        <v>3</v>
      </c>
      <c r="M186" s="47">
        <f t="shared" si="275"/>
        <v>0.36006790112447601</v>
      </c>
      <c r="N186" s="47">
        <f t="shared" si="276"/>
        <v>238.33147692810698</v>
      </c>
      <c r="O186" s="1">
        <f t="shared" si="277"/>
        <v>0.99677933055355972</v>
      </c>
      <c r="P186" s="1">
        <f t="shared" si="278"/>
        <v>8.3317618444497104</v>
      </c>
      <c r="Q186" s="1">
        <f t="shared" si="279"/>
        <v>74.525790734582969</v>
      </c>
      <c r="R186" s="1">
        <f t="shared" si="280"/>
        <v>74.350181186321095</v>
      </c>
      <c r="S186" s="47">
        <f t="shared" si="281"/>
        <v>145.93165911369141</v>
      </c>
      <c r="T186" s="1">
        <f t="shared" si="282"/>
        <v>64.760915544579703</v>
      </c>
      <c r="U186" s="47">
        <f t="shared" si="283"/>
        <v>64.616755431490589</v>
      </c>
      <c r="V186" s="47">
        <f t="shared" si="284"/>
        <v>119.79715618732688</v>
      </c>
      <c r="W186" s="2">
        <f t="shared" si="214"/>
        <v>990.46970216078523</v>
      </c>
      <c r="X186" s="1">
        <f t="shared" si="285"/>
        <v>94.96180024066264</v>
      </c>
      <c r="Y186" s="1">
        <f t="shared" si="286"/>
        <v>11.919441878947715</v>
      </c>
      <c r="Z186" s="2">
        <f t="shared" si="287"/>
        <v>4.0819155245014045</v>
      </c>
      <c r="AA186" s="3">
        <f t="shared" si="288"/>
        <v>1000</v>
      </c>
      <c r="AB186" s="1">
        <f t="shared" si="293"/>
        <v>9.6219983492920047E-3</v>
      </c>
      <c r="AC186" s="1">
        <f t="shared" si="292"/>
        <v>0</v>
      </c>
      <c r="AD186" s="64">
        <f t="shared" si="294"/>
        <v>0</v>
      </c>
      <c r="AE186" s="1">
        <f t="shared" si="291"/>
        <v>13.578093756832939</v>
      </c>
    </row>
    <row r="187" spans="1:78" ht="13.5" customHeight="1">
      <c r="A187" s="1">
        <v>8</v>
      </c>
      <c r="B187" s="3">
        <f t="shared" si="265"/>
        <v>1000</v>
      </c>
      <c r="C187" s="1">
        <f t="shared" si="266"/>
        <v>2.5953777543100423E-2</v>
      </c>
      <c r="D187" s="1">
        <f t="shared" si="195"/>
        <v>0.83287206560397042</v>
      </c>
      <c r="E187" s="1">
        <f t="shared" si="267"/>
        <v>74.525790734582969</v>
      </c>
      <c r="F187" s="1">
        <f t="shared" si="268"/>
        <v>20</v>
      </c>
      <c r="G187" s="1">
        <f t="shared" si="269"/>
        <v>993.34677534612047</v>
      </c>
      <c r="H187" s="1">
        <f t="shared" si="270"/>
        <v>65.413007957801952</v>
      </c>
      <c r="I187" s="1">
        <f t="shared" si="271"/>
        <v>231.18021991349949</v>
      </c>
      <c r="J187" s="3">
        <f t="shared" si="272"/>
        <v>28.284271247461902</v>
      </c>
      <c r="K187" s="47">
        <f t="shared" si="273"/>
        <v>0.22381108921100001</v>
      </c>
      <c r="L187" s="3">
        <f t="shared" si="274"/>
        <v>3</v>
      </c>
      <c r="M187" s="47">
        <f t="shared" si="275"/>
        <v>0.3563870847308917</v>
      </c>
      <c r="N187" s="47">
        <f t="shared" si="276"/>
        <v>214.87714957122012</v>
      </c>
      <c r="O187" s="1">
        <f t="shared" si="277"/>
        <v>0.99696975114027608</v>
      </c>
      <c r="P187" s="1">
        <f t="shared" si="278"/>
        <v>8.4178134633170103</v>
      </c>
      <c r="Q187" s="1">
        <f t="shared" si="279"/>
        <v>74.691519649637854</v>
      </c>
      <c r="R187" s="1">
        <f t="shared" si="280"/>
        <v>74.525790734582969</v>
      </c>
      <c r="S187" s="47">
        <f t="shared" si="281"/>
        <v>155.78626976720102</v>
      </c>
      <c r="T187" s="1">
        <f t="shared" si="282"/>
        <v>64.70909116431271</v>
      </c>
      <c r="U187" s="47">
        <f t="shared" si="283"/>
        <v>64.573611491792761</v>
      </c>
      <c r="V187" s="47">
        <f t="shared" si="284"/>
        <v>127.35178290508743</v>
      </c>
      <c r="W187" s="2">
        <f t="shared" si="214"/>
        <v>993.35677534612046</v>
      </c>
      <c r="X187" s="1">
        <f t="shared" si="285"/>
        <v>93.433599155161517</v>
      </c>
      <c r="Y187" s="1">
        <f t="shared" si="286"/>
        <v>12.39610483280393</v>
      </c>
      <c r="Z187" s="2">
        <f t="shared" si="287"/>
        <v>4.0258976503771802</v>
      </c>
      <c r="AA187" s="3">
        <f t="shared" si="288"/>
        <v>1000</v>
      </c>
      <c r="AB187" s="1">
        <f t="shared" si="293"/>
        <v>6.6876522300507446E-3</v>
      </c>
      <c r="AC187" s="1">
        <f t="shared" si="292"/>
        <v>0</v>
      </c>
      <c r="AD187" s="64">
        <f t="shared" si="294"/>
        <v>0</v>
      </c>
      <c r="AE187" s="1">
        <f t="shared" si="291"/>
        <v>13.578093756832939</v>
      </c>
    </row>
    <row r="188" spans="1:78" ht="13.5" customHeight="1">
      <c r="A188" s="1">
        <v>9</v>
      </c>
      <c r="B188" s="3">
        <f t="shared" si="265"/>
        <v>1000</v>
      </c>
      <c r="C188" s="1">
        <f t="shared" si="266"/>
        <v>2.5563345772316674E-2</v>
      </c>
      <c r="D188" s="1">
        <f t="shared" si="195"/>
        <v>0.83037190482755574</v>
      </c>
      <c r="E188" s="1">
        <f t="shared" si="267"/>
        <v>74.691519649637854</v>
      </c>
      <c r="F188" s="1">
        <f t="shared" si="268"/>
        <v>20</v>
      </c>
      <c r="G188" s="1">
        <f t="shared" si="269"/>
        <v>996.05830470159958</v>
      </c>
      <c r="H188" s="1">
        <f t="shared" si="270"/>
        <v>65.414301349383479</v>
      </c>
      <c r="I188" s="1">
        <f t="shared" si="271"/>
        <v>234.71106065065953</v>
      </c>
      <c r="J188" s="3">
        <f t="shared" si="272"/>
        <v>30</v>
      </c>
      <c r="K188" s="47">
        <f t="shared" si="273"/>
        <v>0.24937443498331668</v>
      </c>
      <c r="L188" s="3">
        <f t="shared" si="274"/>
        <v>3</v>
      </c>
      <c r="M188" s="47">
        <f t="shared" si="275"/>
        <v>0.35297159941021466</v>
      </c>
      <c r="N188" s="47">
        <f t="shared" si="276"/>
        <v>195.90926132549569</v>
      </c>
      <c r="O188" s="1">
        <f t="shared" si="277"/>
        <v>0.99712607884635429</v>
      </c>
      <c r="P188" s="1">
        <f t="shared" si="278"/>
        <v>8.4992673773548439</v>
      </c>
      <c r="Q188" s="1">
        <f t="shared" si="279"/>
        <v>74.849151787218659</v>
      </c>
      <c r="R188" s="1">
        <f t="shared" si="280"/>
        <v>74.691519649637854</v>
      </c>
      <c r="S188" s="47">
        <f t="shared" si="281"/>
        <v>165.09958602659523</v>
      </c>
      <c r="T188" s="1">
        <f t="shared" si="282"/>
        <v>64.659790516191592</v>
      </c>
      <c r="U188" s="47">
        <f t="shared" si="283"/>
        <v>64.531441799509722</v>
      </c>
      <c r="V188" s="47">
        <f t="shared" si="284"/>
        <v>134.42893255417448</v>
      </c>
      <c r="W188" s="2">
        <f t="shared" si="214"/>
        <v>996.06830470159957</v>
      </c>
      <c r="X188" s="1">
        <f t="shared" si="285"/>
        <v>92.028044780340025</v>
      </c>
      <c r="Y188" s="1">
        <f t="shared" si="286"/>
        <v>12.82585913194637</v>
      </c>
      <c r="Z188" s="2">
        <f t="shared" si="287"/>
        <v>3.9755570642615159</v>
      </c>
      <c r="AA188" s="3">
        <f t="shared" si="288"/>
        <v>1000</v>
      </c>
      <c r="AB188" s="1">
        <f t="shared" si="293"/>
        <v>3.9472145432619676E-3</v>
      </c>
      <c r="AC188" s="1">
        <f t="shared" si="292"/>
        <v>0</v>
      </c>
      <c r="AD188" s="64">
        <f t="shared" si="294"/>
        <v>0</v>
      </c>
      <c r="AE188" s="1">
        <f t="shared" si="291"/>
        <v>13.578093756832939</v>
      </c>
    </row>
    <row r="189" spans="1:78" ht="13.5" customHeight="1">
      <c r="A189" s="1">
        <v>10</v>
      </c>
      <c r="B189" s="3">
        <f t="shared" si="265"/>
        <v>1000</v>
      </c>
      <c r="C189" s="1">
        <f t="shared" si="266"/>
        <v>2.5200859142150922E-2</v>
      </c>
      <c r="D189" s="1">
        <f t="shared" si="195"/>
        <v>0.82798429187361078</v>
      </c>
      <c r="E189" s="1">
        <f t="shared" si="267"/>
        <v>74.849151787218659</v>
      </c>
      <c r="F189" s="1">
        <f t="shared" si="268"/>
        <v>20</v>
      </c>
      <c r="G189" s="1">
        <f t="shared" si="269"/>
        <v>998.6255210020862</v>
      </c>
      <c r="H189" s="1">
        <f t="shared" si="270"/>
        <v>65.414236102408438</v>
      </c>
      <c r="I189" s="1">
        <f t="shared" si="271"/>
        <v>238.08712100471243</v>
      </c>
      <c r="J189" s="3">
        <f t="shared" si="272"/>
        <v>31.622776601683793</v>
      </c>
      <c r="K189" s="47">
        <f t="shared" si="273"/>
        <v>0.27457529412546761</v>
      </c>
      <c r="L189" s="3">
        <f t="shared" si="274"/>
        <v>3</v>
      </c>
      <c r="M189" s="47">
        <f t="shared" si="275"/>
        <v>0.34977744474581857</v>
      </c>
      <c r="N189" s="47">
        <f t="shared" si="276"/>
        <v>180.20805111778887</v>
      </c>
      <c r="O189" s="1">
        <f t="shared" si="277"/>
        <v>0.99725730522215739</v>
      </c>
      <c r="P189" s="1">
        <f t="shared" si="278"/>
        <v>8.5768823721040217</v>
      </c>
      <c r="Q189" s="1">
        <f t="shared" si="279"/>
        <v>75</v>
      </c>
      <c r="R189" s="1">
        <f t="shared" si="280"/>
        <v>74.849151787218659</v>
      </c>
      <c r="S189" s="47">
        <f t="shared" si="281"/>
        <v>173.96060804950204</v>
      </c>
      <c r="T189" s="1">
        <f t="shared" si="282"/>
        <v>64.61246574942372</v>
      </c>
      <c r="U189" s="47">
        <f t="shared" si="283"/>
        <v>64.490107372586095</v>
      </c>
      <c r="V189" s="47">
        <f t="shared" si="284"/>
        <v>141.10566669740606</v>
      </c>
      <c r="W189" s="2">
        <f t="shared" si="214"/>
        <v>998.63552100208619</v>
      </c>
      <c r="X189" s="1">
        <f t="shared" si="285"/>
        <v>90.723092911743322</v>
      </c>
      <c r="Y189" s="1">
        <f t="shared" si="286"/>
        <v>13.217677654597361</v>
      </c>
      <c r="Z189" s="2">
        <f t="shared" si="287"/>
        <v>3.9297049702292166</v>
      </c>
      <c r="AA189" s="3">
        <f t="shared" si="288"/>
        <v>1000</v>
      </c>
      <c r="AB189" s="1">
        <f t="shared" si="293"/>
        <v>1.3663433447115292E-3</v>
      </c>
      <c r="AC189" s="1">
        <f t="shared" si="292"/>
        <v>0</v>
      </c>
      <c r="AD189" s="64">
        <f t="shared" si="294"/>
        <v>0</v>
      </c>
      <c r="AE189" s="1">
        <f t="shared" si="291"/>
        <v>13.578093756832939</v>
      </c>
    </row>
    <row r="190" spans="1:78" ht="13.5" customHeight="1">
      <c r="K190" s="47"/>
      <c r="L190" s="47"/>
      <c r="M190" s="47"/>
      <c r="N190" s="47">
        <f>SUM(N180:N189)</f>
        <v>3789.0468784164686</v>
      </c>
      <c r="O190" s="2" t="s">
        <v>46</v>
      </c>
      <c r="P190" s="2"/>
      <c r="Q190" s="2"/>
      <c r="R190" s="49">
        <f>R170</f>
        <v>75</v>
      </c>
      <c r="S190" s="50" t="s">
        <v>45</v>
      </c>
      <c r="T190" s="2"/>
      <c r="U190" s="11">
        <f>U189</f>
        <v>64.490107372586095</v>
      </c>
      <c r="V190" s="47"/>
      <c r="W190" s="2"/>
      <c r="Y190" s="1">
        <f>N191</f>
        <v>13.578093756832939</v>
      </c>
      <c r="AE190" s="1">
        <f t="shared" si="291"/>
        <v>13.578093756832939</v>
      </c>
    </row>
    <row r="191" spans="1:78" ht="13.5" customHeight="1">
      <c r="K191" s="47"/>
      <c r="L191" s="2" t="s">
        <v>44</v>
      </c>
      <c r="M191" s="2"/>
      <c r="N191" s="47">
        <f>N190*2/1000+Y191</f>
        <v>13.578093756832939</v>
      </c>
      <c r="O191" s="2" t="s">
        <v>1</v>
      </c>
      <c r="P191" s="1">
        <f>SUM(P180:P189)</f>
        <v>81.517147870816075</v>
      </c>
      <c r="Q191" s="1" t="s">
        <v>43</v>
      </c>
      <c r="S191" s="47"/>
      <c r="U191" s="47"/>
      <c r="V191" s="47"/>
      <c r="W191" s="2"/>
      <c r="Y191" s="3">
        <f>Y171</f>
        <v>6</v>
      </c>
      <c r="Z191" s="3" t="s">
        <v>42</v>
      </c>
      <c r="AE191" s="1">
        <f>N191</f>
        <v>13.578093756832939</v>
      </c>
    </row>
    <row r="192" spans="1:78" ht="13.5" customHeight="1">
      <c r="L192" s="60" t="s">
        <v>41</v>
      </c>
      <c r="N192" s="3">
        <f>N172</f>
        <v>15</v>
      </c>
      <c r="O192" s="1" t="s">
        <v>1</v>
      </c>
    </row>
    <row r="195" spans="1:31" ht="13.5" customHeight="1" thickBot="1"/>
    <row r="196" spans="1:31" ht="13.5" customHeight="1">
      <c r="B196" s="14" t="s">
        <v>40</v>
      </c>
      <c r="C196" s="15"/>
      <c r="D196" s="15"/>
      <c r="E196" s="15"/>
      <c r="F196" s="15"/>
      <c r="G196" s="15"/>
      <c r="H196" s="15" t="s">
        <v>39</v>
      </c>
      <c r="I196" s="16"/>
      <c r="J196" s="14" t="s">
        <v>38</v>
      </c>
      <c r="K196" s="15"/>
      <c r="L196" s="15"/>
      <c r="M196" s="15"/>
      <c r="N196" s="15" t="s">
        <v>37</v>
      </c>
      <c r="O196" s="15"/>
      <c r="P196" s="15"/>
      <c r="Q196" s="15"/>
      <c r="R196" s="15"/>
      <c r="S196" s="16"/>
      <c r="T196" s="14" t="s">
        <v>36</v>
      </c>
      <c r="U196" s="15"/>
      <c r="V196" s="16"/>
      <c r="W196" s="14"/>
      <c r="X196" s="15"/>
      <c r="Y196" s="15"/>
      <c r="Z196" s="16"/>
    </row>
    <row r="197" spans="1:31" ht="13.5" customHeight="1">
      <c r="B197" s="17" t="s">
        <v>35</v>
      </c>
      <c r="C197" s="18" t="s">
        <v>22</v>
      </c>
      <c r="D197" s="18"/>
      <c r="E197" s="18" t="s">
        <v>34</v>
      </c>
      <c r="F197" s="18" t="s">
        <v>33</v>
      </c>
      <c r="G197" s="18" t="s">
        <v>7</v>
      </c>
      <c r="H197" s="18" t="s">
        <v>32</v>
      </c>
      <c r="I197" s="19" t="s">
        <v>22</v>
      </c>
      <c r="J197" s="17" t="s">
        <v>31</v>
      </c>
      <c r="K197" s="18"/>
      <c r="L197" s="18" t="s">
        <v>30</v>
      </c>
      <c r="M197" s="18"/>
      <c r="N197" s="18" t="s">
        <v>29</v>
      </c>
      <c r="O197" s="18"/>
      <c r="P197" s="18" t="s">
        <v>28</v>
      </c>
      <c r="Q197" s="20" t="s">
        <v>27</v>
      </c>
      <c r="R197" s="21" t="s">
        <v>26</v>
      </c>
      <c r="S197" s="22" t="s">
        <v>7</v>
      </c>
      <c r="T197" s="23" t="s">
        <v>25</v>
      </c>
      <c r="U197" s="24" t="s">
        <v>24</v>
      </c>
      <c r="V197" s="25" t="s">
        <v>7</v>
      </c>
      <c r="W197" s="26" t="s">
        <v>23</v>
      </c>
      <c r="X197" s="4" t="s">
        <v>22</v>
      </c>
      <c r="Y197" s="4" t="s">
        <v>21</v>
      </c>
      <c r="Z197" s="5" t="s">
        <v>20</v>
      </c>
    </row>
    <row r="198" spans="1:31" ht="13.5" customHeight="1">
      <c r="B198" s="54" t="s">
        <v>3</v>
      </c>
      <c r="C198" s="28" t="s">
        <v>17</v>
      </c>
      <c r="D198" s="20" t="s">
        <v>13</v>
      </c>
      <c r="E198" s="20" t="s">
        <v>19</v>
      </c>
      <c r="F198" s="28" t="s">
        <v>19</v>
      </c>
      <c r="G198" s="20" t="s">
        <v>3</v>
      </c>
      <c r="H198" s="20" t="s">
        <v>19</v>
      </c>
      <c r="I198" s="29" t="s">
        <v>12</v>
      </c>
      <c r="J198" s="55" t="s">
        <v>18</v>
      </c>
      <c r="K198" s="20" t="s">
        <v>17</v>
      </c>
      <c r="L198" s="56" t="s">
        <v>16</v>
      </c>
      <c r="M198" s="20" t="s">
        <v>15</v>
      </c>
      <c r="N198" s="20" t="s">
        <v>14</v>
      </c>
      <c r="O198" s="20" t="s">
        <v>13</v>
      </c>
      <c r="P198" s="20" t="s">
        <v>12</v>
      </c>
      <c r="Q198" s="20" t="s">
        <v>11</v>
      </c>
      <c r="R198" s="21" t="s">
        <v>11</v>
      </c>
      <c r="S198" s="22" t="s">
        <v>10</v>
      </c>
      <c r="T198" s="23" t="s">
        <v>9</v>
      </c>
      <c r="U198" s="24" t="s">
        <v>9</v>
      </c>
      <c r="V198" s="33" t="s">
        <v>8</v>
      </c>
      <c r="W198" s="34" t="s">
        <v>7</v>
      </c>
      <c r="X198" s="4" t="s">
        <v>6</v>
      </c>
      <c r="Y198" s="6" t="s">
        <v>5</v>
      </c>
      <c r="Z198" s="7" t="s">
        <v>5</v>
      </c>
    </row>
    <row r="199" spans="1:31" ht="13.5" customHeight="1" thickBot="1">
      <c r="B199" s="57"/>
      <c r="C199" s="3">
        <f>C179</f>
        <v>1.05</v>
      </c>
      <c r="D199" s="37"/>
      <c r="E199" s="38"/>
      <c r="F199" s="38"/>
      <c r="G199" s="37"/>
      <c r="H199" s="37"/>
      <c r="I199" s="39"/>
      <c r="J199" s="58" t="s">
        <v>4</v>
      </c>
      <c r="K199" s="44"/>
      <c r="L199" s="59"/>
      <c r="M199" s="37"/>
      <c r="N199" s="37"/>
      <c r="O199" s="37"/>
      <c r="P199" s="37"/>
      <c r="Q199" s="42"/>
      <c r="R199" s="42"/>
      <c r="S199" s="52" t="s">
        <v>3</v>
      </c>
      <c r="T199" s="43"/>
      <c r="U199" s="44"/>
      <c r="V199" s="39" t="s">
        <v>3</v>
      </c>
      <c r="W199" s="45" t="s">
        <v>3</v>
      </c>
      <c r="X199" s="8" t="s">
        <v>2</v>
      </c>
      <c r="Y199" s="9" t="s">
        <v>1</v>
      </c>
      <c r="Z199" s="13" t="s">
        <v>0</v>
      </c>
    </row>
    <row r="200" spans="1:31" ht="13.5" customHeight="1">
      <c r="A200" s="1">
        <v>1</v>
      </c>
      <c r="B200" s="3">
        <f t="shared" ref="B200:B209" si="295">B180</f>
        <v>1000</v>
      </c>
      <c r="C200" s="1">
        <f t="shared" ref="C200:C209" si="296">IF(B200&lt;1,0.000001,C180*(1+AB180))</f>
        <v>3.2217077518369816E-2</v>
      </c>
      <c r="D200" s="1">
        <f t="shared" si="195"/>
        <v>0.86457582326481952</v>
      </c>
      <c r="E200" s="1">
        <f t="shared" ref="E200:E209" si="297">R200</f>
        <v>72.756995792795237</v>
      </c>
      <c r="F200" s="1">
        <f t="shared" ref="F200:F209" si="298">F180</f>
        <v>20</v>
      </c>
      <c r="G200" s="1">
        <f t="shared" ref="G200:G209" si="299">(E200-F200)*C200*(1-D200)*4200</f>
        <v>966.74446356055103</v>
      </c>
      <c r="H200" s="1">
        <f t="shared" ref="H200:H209" si="300">(E200-F200)*D200+F200</f>
        <v>65.612423070534561</v>
      </c>
      <c r="I200" s="1">
        <f t="shared" ref="I200:I209" si="301">B200*0.001*6/C200</f>
        <v>186.23663169258191</v>
      </c>
      <c r="J200" s="3">
        <f t="shared" ref="J200:J209" si="302">J180</f>
        <v>10</v>
      </c>
      <c r="K200" s="47">
        <f t="shared" ref="K200:K209" si="303">K199+C200</f>
        <v>3.2217077518369816E-2</v>
      </c>
      <c r="L200" s="3">
        <f t="shared" ref="L200:L209" si="304">L180</f>
        <v>3</v>
      </c>
      <c r="M200" s="47">
        <f t="shared" ref="M200:M209" si="305">K200/(J200*J200*3.14/4000)</f>
        <v>0.41040863080725881</v>
      </c>
      <c r="N200" s="47">
        <f t="shared" ref="N200:N209" si="306">L200*26400/J200^1.27*M200^1.83*$N$69</f>
        <v>1041.8887837322673</v>
      </c>
      <c r="O200" s="1">
        <f t="shared" ref="O200:O209" si="307">EXP(-(J200+2)*3.14/1000*$O$66/(M200*J200*J200*3.14/4000*4200)*L200)</f>
        <v>0.99168075485687546</v>
      </c>
      <c r="P200" s="1">
        <f t="shared" ref="P200:P209" si="308">L200/M200</f>
        <v>7.3097877939338396</v>
      </c>
      <c r="Q200" s="1">
        <f t="shared" ref="Q200:Q209" si="309">R201</f>
        <v>73.199576107947564</v>
      </c>
      <c r="R200" s="1">
        <f t="shared" ref="R200:R209" si="310">(Q200-F200)*O200+F200</f>
        <v>72.756995792795237</v>
      </c>
      <c r="S200" s="47">
        <f t="shared" ref="S200:S209" si="311">K200*(1-O200)*4200*(Q200-F200)</f>
        <v>59.886306149741699</v>
      </c>
      <c r="T200" s="1">
        <f t="shared" ref="T200:T209" si="312">(U199*K199+H200*C200)/K200</f>
        <v>65.612423070534561</v>
      </c>
      <c r="U200" s="47">
        <f t="shared" ref="U200:U209" si="313">(T200-F200)*O200+F200</f>
        <v>65.232962141438875</v>
      </c>
      <c r="V200" s="47">
        <f t="shared" ref="V200:V209" si="314">K200*(1-O200)*4200*(T200-F200)</f>
        <v>51.345513105047139</v>
      </c>
      <c r="W200" s="2">
        <f t="shared" si="214"/>
        <v>966.75446356055102</v>
      </c>
      <c r="X200" s="1">
        <f t="shared" ref="X200:X209" si="315">C200*3600</f>
        <v>115.98147906613134</v>
      </c>
      <c r="Y200" s="1">
        <f t="shared" ref="Y200:Y209" si="316">Y201-2*N200/1000</f>
        <v>6.0000000000000027</v>
      </c>
      <c r="Z200" s="2">
        <f t="shared" ref="Z200:Z209" si="317">-1.1-1.8*LOG10(Y200/X200/X200)</f>
        <v>4.9311268635119223</v>
      </c>
      <c r="AA200" s="3">
        <f t="shared" ref="AA200:AA209" si="318">AA180</f>
        <v>1000</v>
      </c>
      <c r="AB200" s="1">
        <f t="shared" ref="AB200" si="319">((AA200/W200)-1)*AB$23+AC200+AD200</f>
        <v>3.4388810905517708E-2</v>
      </c>
      <c r="AC200" s="1">
        <f>((N212/N211)-1)*AB$24</f>
        <v>0</v>
      </c>
      <c r="AD200" s="64">
        <f t="shared" ref="AD200" si="320">(AC$21-(X200/1000/SQRT(Y200/104))*1000/B200)*AB$21</f>
        <v>0</v>
      </c>
      <c r="AE200" s="1">
        <f t="shared" ref="AE200:AE210" si="321">AE201</f>
        <v>14.003185531769835</v>
      </c>
    </row>
    <row r="201" spans="1:31" ht="13.5" customHeight="1">
      <c r="A201" s="1">
        <v>2</v>
      </c>
      <c r="B201" s="3">
        <f t="shared" si="295"/>
        <v>1000</v>
      </c>
      <c r="C201" s="1">
        <f t="shared" si="296"/>
        <v>3.0504667845018069E-2</v>
      </c>
      <c r="D201" s="1">
        <f t="shared" si="195"/>
        <v>0.85713288916465147</v>
      </c>
      <c r="E201" s="1">
        <f t="shared" si="297"/>
        <v>73.199576107947564</v>
      </c>
      <c r="F201" s="1">
        <f t="shared" si="298"/>
        <v>20</v>
      </c>
      <c r="G201" s="1">
        <f t="shared" si="299"/>
        <v>973.76918003033825</v>
      </c>
      <c r="H201" s="1">
        <f t="shared" si="300"/>
        <v>65.59910637173985</v>
      </c>
      <c r="I201" s="1">
        <f t="shared" si="301"/>
        <v>196.69120904654932</v>
      </c>
      <c r="J201" s="3">
        <f t="shared" si="302"/>
        <v>14.142135623730951</v>
      </c>
      <c r="K201" s="47">
        <f t="shared" si="303"/>
        <v>6.2721745363387885E-2</v>
      </c>
      <c r="L201" s="3">
        <f t="shared" si="304"/>
        <v>3</v>
      </c>
      <c r="M201" s="47">
        <f t="shared" si="305"/>
        <v>0.39950156282412658</v>
      </c>
      <c r="N201" s="47">
        <f t="shared" si="306"/>
        <v>638.6456677421088</v>
      </c>
      <c r="O201" s="1">
        <f t="shared" si="307"/>
        <v>0.99424438619032807</v>
      </c>
      <c r="P201" s="1">
        <f t="shared" si="308"/>
        <v>7.5093573571843484</v>
      </c>
      <c r="Q201" s="1">
        <f t="shared" si="309"/>
        <v>73.50754487213527</v>
      </c>
      <c r="R201" s="1">
        <f t="shared" si="310"/>
        <v>73.199576107947564</v>
      </c>
      <c r="S201" s="47">
        <f t="shared" si="311"/>
        <v>81.128621310484945</v>
      </c>
      <c r="T201" s="1">
        <f t="shared" si="312"/>
        <v>65.411036078380391</v>
      </c>
      <c r="U201" s="47">
        <f t="shared" si="313"/>
        <v>65.149667692016152</v>
      </c>
      <c r="V201" s="47">
        <f t="shared" si="314"/>
        <v>68.852621777424361</v>
      </c>
      <c r="W201" s="2">
        <f t="shared" si="214"/>
        <v>973.77918003033824</v>
      </c>
      <c r="X201" s="1">
        <f t="shared" si="315"/>
        <v>109.81680424206505</v>
      </c>
      <c r="Y201" s="1">
        <f t="shared" si="316"/>
        <v>8.0837775674645371</v>
      </c>
      <c r="Z201" s="2">
        <f t="shared" si="317"/>
        <v>4.6127018454542359</v>
      </c>
      <c r="AA201" s="3">
        <f t="shared" si="318"/>
        <v>1000</v>
      </c>
      <c r="AB201" s="1">
        <f t="shared" si="293"/>
        <v>2.6926864434342113E-2</v>
      </c>
      <c r="AC201" s="1">
        <f t="shared" ref="AC201:AC209" si="322">AC200</f>
        <v>0</v>
      </c>
      <c r="AD201" s="64">
        <f t="shared" si="294"/>
        <v>0</v>
      </c>
      <c r="AE201" s="1">
        <f t="shared" si="321"/>
        <v>14.003185531769835</v>
      </c>
    </row>
    <row r="202" spans="1:31" ht="13.5" customHeight="1">
      <c r="A202" s="1">
        <v>3</v>
      </c>
      <c r="B202" s="3">
        <f t="shared" si="295"/>
        <v>1000</v>
      </c>
      <c r="C202" s="1">
        <f t="shared" si="296"/>
        <v>2.939562574987491E-2</v>
      </c>
      <c r="D202" s="1">
        <f t="shared" si="195"/>
        <v>0.85186837550670746</v>
      </c>
      <c r="E202" s="1">
        <f t="shared" si="297"/>
        <v>73.50754487213527</v>
      </c>
      <c r="F202" s="1">
        <f t="shared" si="298"/>
        <v>20</v>
      </c>
      <c r="G202" s="1">
        <f t="shared" si="299"/>
        <v>978.57656234352305</v>
      </c>
      <c r="H202" s="1">
        <f t="shared" si="300"/>
        <v>65.581385327578118</v>
      </c>
      <c r="I202" s="1">
        <f t="shared" si="301"/>
        <v>204.11200125670169</v>
      </c>
      <c r="J202" s="3">
        <f t="shared" si="302"/>
        <v>17.320508075688775</v>
      </c>
      <c r="K202" s="47">
        <f t="shared" si="303"/>
        <v>9.2117371113262791E-2</v>
      </c>
      <c r="L202" s="3">
        <f t="shared" si="304"/>
        <v>3</v>
      </c>
      <c r="M202" s="47">
        <f t="shared" si="305"/>
        <v>0.39115656523678455</v>
      </c>
      <c r="N202" s="47">
        <f t="shared" si="306"/>
        <v>474.96853447714699</v>
      </c>
      <c r="O202" s="1">
        <f t="shared" si="307"/>
        <v>0.99530692458421333</v>
      </c>
      <c r="P202" s="1">
        <f t="shared" si="308"/>
        <v>7.6695632046568516</v>
      </c>
      <c r="Q202" s="1">
        <f t="shared" si="309"/>
        <v>73.759843873775822</v>
      </c>
      <c r="R202" s="1">
        <f t="shared" si="310"/>
        <v>73.50754487213527</v>
      </c>
      <c r="S202" s="47">
        <f t="shared" si="311"/>
        <v>97.612707215637499</v>
      </c>
      <c r="T202" s="1">
        <f t="shared" si="312"/>
        <v>65.287433347844484</v>
      </c>
      <c r="U202" s="47">
        <f t="shared" si="313"/>
        <v>65.07489600775564</v>
      </c>
      <c r="V202" s="47">
        <f t="shared" si="314"/>
        <v>82.22920033603809</v>
      </c>
      <c r="W202" s="2">
        <f t="shared" si="214"/>
        <v>978.58656234352304</v>
      </c>
      <c r="X202" s="1">
        <f t="shared" si="315"/>
        <v>105.82425269954967</v>
      </c>
      <c r="Y202" s="1">
        <f t="shared" si="316"/>
        <v>9.3610689029487553</v>
      </c>
      <c r="Z202" s="2">
        <f t="shared" si="317"/>
        <v>4.4401209616094448</v>
      </c>
      <c r="AA202" s="3">
        <f t="shared" si="318"/>
        <v>1000</v>
      </c>
      <c r="AB202" s="1">
        <f t="shared" si="293"/>
        <v>2.188200664149309E-2</v>
      </c>
      <c r="AC202" s="1">
        <f t="shared" si="322"/>
        <v>0</v>
      </c>
      <c r="AD202" s="64">
        <f t="shared" si="294"/>
        <v>0</v>
      </c>
      <c r="AE202" s="1">
        <f t="shared" si="321"/>
        <v>14.003185531769835</v>
      </c>
    </row>
    <row r="203" spans="1:31" ht="13.5" customHeight="1">
      <c r="A203" s="1">
        <v>4</v>
      </c>
      <c r="B203" s="3">
        <f t="shared" si="295"/>
        <v>1000</v>
      </c>
      <c r="C203" s="1">
        <f t="shared" si="296"/>
        <v>2.8534132230480621E-2</v>
      </c>
      <c r="D203" s="1">
        <f t="shared" si="195"/>
        <v>0.84750834948843845</v>
      </c>
      <c r="E203" s="1">
        <f t="shared" si="297"/>
        <v>73.759843873775822</v>
      </c>
      <c r="F203" s="1">
        <f t="shared" si="298"/>
        <v>20</v>
      </c>
      <c r="G203" s="1">
        <f t="shared" si="299"/>
        <v>982.46711751810358</v>
      </c>
      <c r="H203" s="1">
        <f t="shared" si="300"/>
        <v>65.561916550219877</v>
      </c>
      <c r="I203" s="1">
        <f t="shared" si="301"/>
        <v>210.27448641282677</v>
      </c>
      <c r="J203" s="3">
        <f t="shared" si="302"/>
        <v>20</v>
      </c>
      <c r="K203" s="47">
        <f t="shared" si="303"/>
        <v>0.12065150334374342</v>
      </c>
      <c r="L203" s="3">
        <f t="shared" si="304"/>
        <v>3</v>
      </c>
      <c r="M203" s="47">
        <f t="shared" si="305"/>
        <v>0.384240456508737</v>
      </c>
      <c r="N203" s="47">
        <f t="shared" si="306"/>
        <v>382.95765408360973</v>
      </c>
      <c r="O203" s="1">
        <f t="shared" si="307"/>
        <v>0.99591865045849948</v>
      </c>
      <c r="P203" s="1">
        <f t="shared" si="308"/>
        <v>7.8076109612673879</v>
      </c>
      <c r="Q203" s="1">
        <f t="shared" si="309"/>
        <v>73.980155757727744</v>
      </c>
      <c r="R203" s="1">
        <f t="shared" si="310"/>
        <v>73.759843873775822</v>
      </c>
      <c r="S203" s="47">
        <f t="shared" si="311"/>
        <v>111.64003201382877</v>
      </c>
      <c r="T203" s="1">
        <f t="shared" si="312"/>
        <v>65.190076574698452</v>
      </c>
      <c r="U203" s="47">
        <f t="shared" si="313"/>
        <v>65.005640076389938</v>
      </c>
      <c r="V203" s="47">
        <f t="shared" si="314"/>
        <v>93.46067132799017</v>
      </c>
      <c r="W203" s="2">
        <f t="shared" si="214"/>
        <v>982.47711751810357</v>
      </c>
      <c r="X203" s="1">
        <f t="shared" si="315"/>
        <v>102.72287602973023</v>
      </c>
      <c r="Y203" s="1">
        <f t="shared" si="316"/>
        <v>10.311005971903048</v>
      </c>
      <c r="Z203" s="2">
        <f t="shared" si="317"/>
        <v>4.3180599437943599</v>
      </c>
      <c r="AA203" s="3">
        <f t="shared" si="318"/>
        <v>1000</v>
      </c>
      <c r="AB203" s="1">
        <f t="shared" si="293"/>
        <v>1.7835410280253816E-2</v>
      </c>
      <c r="AC203" s="1">
        <f t="shared" si="322"/>
        <v>0</v>
      </c>
      <c r="AD203" s="64">
        <f t="shared" si="294"/>
        <v>0</v>
      </c>
      <c r="AE203" s="1">
        <f t="shared" si="321"/>
        <v>14.003185531769835</v>
      </c>
    </row>
    <row r="204" spans="1:31" ht="13.5" customHeight="1">
      <c r="A204" s="1">
        <v>5</v>
      </c>
      <c r="B204" s="3">
        <f t="shared" si="295"/>
        <v>1000</v>
      </c>
      <c r="C204" s="1">
        <f t="shared" si="296"/>
        <v>2.7814475758169473E-2</v>
      </c>
      <c r="D204" s="1">
        <f t="shared" ref="D204:D267" si="323">EXP((1+(E204-F204-55)/55*$B$18)*B204/C204/-210000)</f>
        <v>0.84366813594119616</v>
      </c>
      <c r="E204" s="1">
        <f t="shared" si="297"/>
        <v>73.980155757727744</v>
      </c>
      <c r="F204" s="1">
        <f t="shared" si="298"/>
        <v>20</v>
      </c>
      <c r="G204" s="1">
        <f t="shared" si="299"/>
        <v>985.82949792495992</v>
      </c>
      <c r="H204" s="1">
        <f t="shared" si="300"/>
        <v>65.541337385937595</v>
      </c>
      <c r="I204" s="1">
        <f t="shared" si="301"/>
        <v>215.71501300856701</v>
      </c>
      <c r="J204" s="3">
        <f t="shared" si="302"/>
        <v>22.360679774997898</v>
      </c>
      <c r="K204" s="47">
        <f t="shared" si="303"/>
        <v>0.14846597910191289</v>
      </c>
      <c r="L204" s="3">
        <f t="shared" si="304"/>
        <v>3</v>
      </c>
      <c r="M204" s="47">
        <f t="shared" si="305"/>
        <v>0.37825727159723022</v>
      </c>
      <c r="N204" s="47">
        <f t="shared" si="306"/>
        <v>322.95348437311702</v>
      </c>
      <c r="O204" s="1">
        <f t="shared" si="307"/>
        <v>0.99632662571065433</v>
      </c>
      <c r="P204" s="1">
        <f t="shared" si="308"/>
        <v>7.9311099224403314</v>
      </c>
      <c r="Q204" s="1">
        <f t="shared" si="309"/>
        <v>74.179176150416609</v>
      </c>
      <c r="R204" s="1">
        <f t="shared" si="310"/>
        <v>73.980155757727744</v>
      </c>
      <c r="S204" s="47">
        <f t="shared" si="311"/>
        <v>124.10058133956127</v>
      </c>
      <c r="T204" s="1">
        <f t="shared" si="312"/>
        <v>65.106000710659572</v>
      </c>
      <c r="U204" s="47">
        <f t="shared" si="313"/>
        <v>64.940309487353829</v>
      </c>
      <c r="V204" s="47">
        <f t="shared" si="314"/>
        <v>103.31794072606019</v>
      </c>
      <c r="W204" s="2">
        <f t="shared" ref="W204:W267" si="324">G204+(S204+V204)*$AB$22+0.01</f>
        <v>985.83949792495991</v>
      </c>
      <c r="X204" s="1">
        <f t="shared" si="315"/>
        <v>100.13211272941011</v>
      </c>
      <c r="Y204" s="1">
        <f t="shared" si="316"/>
        <v>11.076921280070268</v>
      </c>
      <c r="Z204" s="2">
        <f t="shared" si="317"/>
        <v>4.2221098418338734</v>
      </c>
      <c r="AA204" s="3">
        <f t="shared" si="318"/>
        <v>1000</v>
      </c>
      <c r="AB204" s="1">
        <f t="shared" si="293"/>
        <v>1.4363902141115048E-2</v>
      </c>
      <c r="AC204" s="1">
        <f t="shared" si="322"/>
        <v>0</v>
      </c>
      <c r="AD204" s="64">
        <f t="shared" si="294"/>
        <v>0</v>
      </c>
      <c r="AE204" s="1">
        <f t="shared" si="321"/>
        <v>14.003185531769835</v>
      </c>
    </row>
    <row r="205" spans="1:31" ht="13.5" customHeight="1">
      <c r="A205" s="1">
        <v>6</v>
      </c>
      <c r="B205" s="3">
        <f t="shared" si="295"/>
        <v>1000</v>
      </c>
      <c r="C205" s="1">
        <f t="shared" si="296"/>
        <v>2.718913077618559E-2</v>
      </c>
      <c r="D205" s="1">
        <f t="shared" si="323"/>
        <v>0.84017357639045198</v>
      </c>
      <c r="E205" s="1">
        <f t="shared" si="297"/>
        <v>74.179176150416609</v>
      </c>
      <c r="F205" s="1">
        <f t="shared" si="298"/>
        <v>20</v>
      </c>
      <c r="G205" s="1">
        <f t="shared" si="299"/>
        <v>988.8390127807894</v>
      </c>
      <c r="H205" s="1">
        <f t="shared" si="300"/>
        <v>65.519912192183796</v>
      </c>
      <c r="I205" s="1">
        <f t="shared" si="301"/>
        <v>220.6764184331806</v>
      </c>
      <c r="J205" s="3">
        <f t="shared" si="302"/>
        <v>24.494897427831781</v>
      </c>
      <c r="K205" s="47">
        <f t="shared" si="303"/>
        <v>0.17565510987809849</v>
      </c>
      <c r="L205" s="3">
        <f t="shared" si="304"/>
        <v>3</v>
      </c>
      <c r="M205" s="47">
        <f t="shared" si="305"/>
        <v>0.37294078530381847</v>
      </c>
      <c r="N205" s="47">
        <f t="shared" si="306"/>
        <v>280.29163235419082</v>
      </c>
      <c r="O205" s="1">
        <f t="shared" si="307"/>
        <v>0.99662270759786675</v>
      </c>
      <c r="P205" s="1">
        <f t="shared" si="308"/>
        <v>8.0441724751451673</v>
      </c>
      <c r="Q205" s="1">
        <f t="shared" si="309"/>
        <v>74.362775137848544</v>
      </c>
      <c r="R205" s="1">
        <f t="shared" si="310"/>
        <v>74.179176150416609</v>
      </c>
      <c r="S205" s="47">
        <f t="shared" si="311"/>
        <v>135.45042130562882</v>
      </c>
      <c r="T205" s="1">
        <f t="shared" si="312"/>
        <v>65.030024462060737</v>
      </c>
      <c r="U205" s="47">
        <f t="shared" si="313"/>
        <v>64.877944902577156</v>
      </c>
      <c r="V205" s="47">
        <f t="shared" si="314"/>
        <v>112.19691727147331</v>
      </c>
      <c r="W205" s="2">
        <f t="shared" si="324"/>
        <v>988.84901278078939</v>
      </c>
      <c r="X205" s="1">
        <f t="shared" si="315"/>
        <v>97.88087079426812</v>
      </c>
      <c r="Y205" s="1">
        <f t="shared" si="316"/>
        <v>11.722828248816501</v>
      </c>
      <c r="Z205" s="2">
        <f t="shared" si="317"/>
        <v>4.1422538438559435</v>
      </c>
      <c r="AA205" s="3">
        <f t="shared" si="318"/>
        <v>1000</v>
      </c>
      <c r="AB205" s="1">
        <f t="shared" si="293"/>
        <v>1.1276733935196459E-2</v>
      </c>
      <c r="AC205" s="1">
        <f t="shared" si="322"/>
        <v>0</v>
      </c>
      <c r="AD205" s="64">
        <f t="shared" si="294"/>
        <v>0</v>
      </c>
      <c r="AE205" s="1">
        <f t="shared" si="321"/>
        <v>14.003185531769835</v>
      </c>
    </row>
    <row r="206" spans="1:31" ht="13.5" customHeight="1">
      <c r="A206" s="1">
        <v>7</v>
      </c>
      <c r="B206" s="3">
        <f t="shared" si="295"/>
        <v>1000</v>
      </c>
      <c r="C206" s="1">
        <f t="shared" si="296"/>
        <v>2.6632089590506693E-2</v>
      </c>
      <c r="D206" s="1">
        <f t="shared" si="323"/>
        <v>0.83692897822811985</v>
      </c>
      <c r="E206" s="1">
        <f t="shared" si="297"/>
        <v>74.362775137848544</v>
      </c>
      <c r="F206" s="1">
        <f t="shared" si="298"/>
        <v>20</v>
      </c>
      <c r="G206" s="1">
        <f t="shared" si="299"/>
        <v>991.59184096346462</v>
      </c>
      <c r="H206" s="1">
        <f t="shared" si="300"/>
        <v>65.497781849764621</v>
      </c>
      <c r="I206" s="1">
        <f t="shared" si="301"/>
        <v>225.29212285838688</v>
      </c>
      <c r="J206" s="3">
        <f t="shared" si="302"/>
        <v>26.457513110645905</v>
      </c>
      <c r="K206" s="47">
        <f t="shared" si="303"/>
        <v>0.20228719946860518</v>
      </c>
      <c r="L206" s="3">
        <f t="shared" si="304"/>
        <v>3</v>
      </c>
      <c r="M206" s="47">
        <f t="shared" si="305"/>
        <v>0.36812957137143804</v>
      </c>
      <c r="N206" s="47">
        <f t="shared" si="306"/>
        <v>248.18711438469788</v>
      </c>
      <c r="O206" s="1">
        <f t="shared" si="307"/>
        <v>0.99684974878956045</v>
      </c>
      <c r="P206" s="1">
        <f t="shared" si="308"/>
        <v>8.149304574538073</v>
      </c>
      <c r="Q206" s="1">
        <f t="shared" si="309"/>
        <v>74.534572741638698</v>
      </c>
      <c r="R206" s="1">
        <f t="shared" si="310"/>
        <v>74.362775137848544</v>
      </c>
      <c r="S206" s="47">
        <f t="shared" si="311"/>
        <v>145.96031581373194</v>
      </c>
      <c r="T206" s="1">
        <f t="shared" si="312"/>
        <v>64.959549438862041</v>
      </c>
      <c r="U206" s="47">
        <f t="shared" si="313"/>
        <v>64.817915563821458</v>
      </c>
      <c r="V206" s="47">
        <f t="shared" si="314"/>
        <v>120.33302371376034</v>
      </c>
      <c r="W206" s="2">
        <f t="shared" si="324"/>
        <v>991.60184096346461</v>
      </c>
      <c r="X206" s="1">
        <f t="shared" si="315"/>
        <v>95.875522525824096</v>
      </c>
      <c r="Y206" s="1">
        <f t="shared" si="316"/>
        <v>12.283411513524882</v>
      </c>
      <c r="Z206" s="2">
        <f t="shared" si="317"/>
        <v>4.073373675048682</v>
      </c>
      <c r="AA206" s="3">
        <f t="shared" si="318"/>
        <v>1000</v>
      </c>
      <c r="AB206" s="1">
        <f t="shared" si="293"/>
        <v>8.4692854426082764E-3</v>
      </c>
      <c r="AC206" s="1">
        <f t="shared" si="322"/>
        <v>0</v>
      </c>
      <c r="AD206" s="64">
        <f t="shared" si="294"/>
        <v>0</v>
      </c>
      <c r="AE206" s="1">
        <f t="shared" si="321"/>
        <v>14.003185531769835</v>
      </c>
    </row>
    <row r="207" spans="1:31" ht="13.5" customHeight="1">
      <c r="A207" s="1">
        <v>8</v>
      </c>
      <c r="B207" s="3">
        <f t="shared" si="295"/>
        <v>1000</v>
      </c>
      <c r="C207" s="1">
        <f t="shared" si="296"/>
        <v>2.6127347381364779E-2</v>
      </c>
      <c r="D207" s="1">
        <f t="shared" si="323"/>
        <v>0.83387529959549911</v>
      </c>
      <c r="E207" s="1">
        <f t="shared" si="297"/>
        <v>74.534572741638698</v>
      </c>
      <c r="F207" s="1">
        <f t="shared" si="298"/>
        <v>20</v>
      </c>
      <c r="G207" s="1">
        <f t="shared" si="299"/>
        <v>994.14729606078095</v>
      </c>
      <c r="H207" s="1">
        <f t="shared" si="300"/>
        <v>65.475033183246509</v>
      </c>
      <c r="I207" s="1">
        <f t="shared" si="301"/>
        <v>229.64443777708084</v>
      </c>
      <c r="J207" s="3">
        <f t="shared" si="302"/>
        <v>28.284271247461902</v>
      </c>
      <c r="K207" s="47">
        <f t="shared" si="303"/>
        <v>0.22841454684996995</v>
      </c>
      <c r="L207" s="3">
        <f t="shared" si="304"/>
        <v>3</v>
      </c>
      <c r="M207" s="47">
        <f t="shared" si="305"/>
        <v>0.36371743128976103</v>
      </c>
      <c r="N207" s="47">
        <f t="shared" si="306"/>
        <v>223.03415946189494</v>
      </c>
      <c r="O207" s="1">
        <f t="shared" si="307"/>
        <v>0.99703073189491542</v>
      </c>
      <c r="P207" s="1">
        <f t="shared" si="308"/>
        <v>8.2481611875511245</v>
      </c>
      <c r="Q207" s="1">
        <f t="shared" si="309"/>
        <v>74.696982747956568</v>
      </c>
      <c r="R207" s="1">
        <f t="shared" si="310"/>
        <v>74.534572741638698</v>
      </c>
      <c r="S207" s="47">
        <f t="shared" si="311"/>
        <v>155.8065935873864</v>
      </c>
      <c r="T207" s="1">
        <f t="shared" si="312"/>
        <v>64.893080392637785</v>
      </c>
      <c r="U207" s="47">
        <f t="shared" si="313"/>
        <v>64.759780800888933</v>
      </c>
      <c r="V207" s="47">
        <f t="shared" si="314"/>
        <v>127.87977654732506</v>
      </c>
      <c r="W207" s="2">
        <f t="shared" si="324"/>
        <v>994.15729606078094</v>
      </c>
      <c r="X207" s="1">
        <f t="shared" si="315"/>
        <v>94.058450572913202</v>
      </c>
      <c r="Y207" s="1">
        <f t="shared" si="316"/>
        <v>12.779785742294278</v>
      </c>
      <c r="Z207" s="2">
        <f t="shared" si="317"/>
        <v>4.0124897221681426</v>
      </c>
      <c r="AA207" s="3">
        <f t="shared" si="318"/>
        <v>1000</v>
      </c>
      <c r="AB207" s="1">
        <f t="shared" si="293"/>
        <v>5.877041754227541E-3</v>
      </c>
      <c r="AC207" s="1">
        <f t="shared" si="322"/>
        <v>0</v>
      </c>
      <c r="AD207" s="64">
        <f t="shared" si="294"/>
        <v>0</v>
      </c>
      <c r="AE207" s="1">
        <f t="shared" si="321"/>
        <v>14.003185531769835</v>
      </c>
    </row>
    <row r="208" spans="1:31" ht="13.5" customHeight="1">
      <c r="A208" s="1">
        <v>9</v>
      </c>
      <c r="B208" s="3">
        <f t="shared" si="295"/>
        <v>1000</v>
      </c>
      <c r="C208" s="1">
        <f t="shared" si="296"/>
        <v>2.5664249782523595E-2</v>
      </c>
      <c r="D208" s="1">
        <f t="shared" si="323"/>
        <v>0.8309731674829488</v>
      </c>
      <c r="E208" s="1">
        <f t="shared" si="297"/>
        <v>74.696982747956568</v>
      </c>
      <c r="F208" s="1">
        <f t="shared" si="298"/>
        <v>20</v>
      </c>
      <c r="G208" s="1">
        <f t="shared" si="299"/>
        <v>996.54493679056964</v>
      </c>
      <c r="H208" s="1">
        <f t="shared" si="300"/>
        <v>65.451725005829672</v>
      </c>
      <c r="I208" s="1">
        <f t="shared" si="301"/>
        <v>233.78824827701678</v>
      </c>
      <c r="J208" s="3">
        <f t="shared" si="302"/>
        <v>30</v>
      </c>
      <c r="K208" s="47">
        <f t="shared" si="303"/>
        <v>0.25407879663249355</v>
      </c>
      <c r="L208" s="3">
        <f t="shared" si="304"/>
        <v>3</v>
      </c>
      <c r="M208" s="47">
        <f t="shared" si="305"/>
        <v>0.35963028539631076</v>
      </c>
      <c r="N208" s="47">
        <f t="shared" si="306"/>
        <v>202.72539375574254</v>
      </c>
      <c r="O208" s="1">
        <f t="shared" si="307"/>
        <v>0.99717921542468857</v>
      </c>
      <c r="P208" s="1">
        <f t="shared" si="308"/>
        <v>8.3419003399394338</v>
      </c>
      <c r="Q208" s="1">
        <f t="shared" si="309"/>
        <v>74.85170759868042</v>
      </c>
      <c r="R208" s="1">
        <f t="shared" si="310"/>
        <v>74.696982747956568</v>
      </c>
      <c r="S208" s="47">
        <f t="shared" si="311"/>
        <v>165.11167630044417</v>
      </c>
      <c r="T208" s="1">
        <f t="shared" si="312"/>
        <v>64.829673405649871</v>
      </c>
      <c r="U208" s="47">
        <f t="shared" si="313"/>
        <v>64.703218554390958</v>
      </c>
      <c r="V208" s="47">
        <f t="shared" si="314"/>
        <v>134.94388503205616</v>
      </c>
      <c r="W208" s="2">
        <f t="shared" si="324"/>
        <v>996.55493679056963</v>
      </c>
      <c r="X208" s="1">
        <f t="shared" si="315"/>
        <v>92.391299217084935</v>
      </c>
      <c r="Y208" s="1">
        <f t="shared" si="316"/>
        <v>13.225854061218067</v>
      </c>
      <c r="Z208" s="2">
        <f t="shared" si="317"/>
        <v>3.9577091600821723</v>
      </c>
      <c r="AA208" s="3">
        <f t="shared" si="318"/>
        <v>1000</v>
      </c>
      <c r="AB208" s="1">
        <f t="shared" si="293"/>
        <v>3.4569726988913363E-3</v>
      </c>
      <c r="AC208" s="1">
        <f t="shared" si="322"/>
        <v>0</v>
      </c>
      <c r="AD208" s="64">
        <f t="shared" si="294"/>
        <v>0</v>
      </c>
      <c r="AE208" s="1">
        <f t="shared" si="321"/>
        <v>14.003185531769835</v>
      </c>
    </row>
    <row r="209" spans="1:31" ht="13.5" customHeight="1">
      <c r="A209" s="1">
        <v>10</v>
      </c>
      <c r="B209" s="3">
        <f t="shared" si="295"/>
        <v>1000</v>
      </c>
      <c r="C209" s="1">
        <f t="shared" si="296"/>
        <v>2.5235292168320812E-2</v>
      </c>
      <c r="D209" s="1">
        <f t="shared" si="323"/>
        <v>0.82819481577125864</v>
      </c>
      <c r="E209" s="1">
        <f t="shared" si="297"/>
        <v>74.85170759868042</v>
      </c>
      <c r="F209" s="1">
        <f t="shared" si="298"/>
        <v>20</v>
      </c>
      <c r="G209" s="1">
        <f t="shared" si="299"/>
        <v>998.81267382020349</v>
      </c>
      <c r="H209" s="1">
        <f t="shared" si="300"/>
        <v>65.427899869428074</v>
      </c>
      <c r="I209" s="1">
        <f t="shared" si="301"/>
        <v>237.76225612842777</v>
      </c>
      <c r="J209" s="3">
        <f t="shared" si="302"/>
        <v>31.622776601683793</v>
      </c>
      <c r="K209" s="47">
        <f t="shared" si="303"/>
        <v>0.27931408880081438</v>
      </c>
      <c r="L209" s="3">
        <f t="shared" si="304"/>
        <v>3</v>
      </c>
      <c r="M209" s="47">
        <f t="shared" si="305"/>
        <v>0.35581412586090999</v>
      </c>
      <c r="N209" s="47">
        <f t="shared" si="306"/>
        <v>185.94034152014183</v>
      </c>
      <c r="O209" s="1">
        <f t="shared" si="307"/>
        <v>0.99730377452146224</v>
      </c>
      <c r="P209" s="1">
        <f t="shared" si="308"/>
        <v>8.4313684644794549</v>
      </c>
      <c r="Q209" s="1">
        <f t="shared" si="309"/>
        <v>75</v>
      </c>
      <c r="R209" s="1">
        <f t="shared" si="310"/>
        <v>74.85170759868042</v>
      </c>
      <c r="S209" s="47">
        <f t="shared" si="311"/>
        <v>173.96465919278168</v>
      </c>
      <c r="T209" s="1">
        <f t="shared" si="312"/>
        <v>64.768691602286239</v>
      </c>
      <c r="U209" s="47">
        <f t="shared" si="313"/>
        <v>64.647985115347353</v>
      </c>
      <c r="V209" s="47">
        <f t="shared" si="314"/>
        <v>141.60309412906312</v>
      </c>
      <c r="W209" s="2">
        <f t="shared" si="324"/>
        <v>998.82267382020348</v>
      </c>
      <c r="X209" s="1">
        <f t="shared" si="315"/>
        <v>90.847051805954919</v>
      </c>
      <c r="Y209" s="1">
        <f t="shared" si="316"/>
        <v>13.631304848729553</v>
      </c>
      <c r="Z209" s="2">
        <f t="shared" si="317"/>
        <v>3.907751642154063</v>
      </c>
      <c r="AA209" s="3">
        <f t="shared" si="318"/>
        <v>1000</v>
      </c>
      <c r="AB209" s="1">
        <f t="shared" si="293"/>
        <v>1.1787139105419175E-3</v>
      </c>
      <c r="AC209" s="1">
        <f t="shared" si="322"/>
        <v>0</v>
      </c>
      <c r="AD209" s="64">
        <f t="shared" si="294"/>
        <v>0</v>
      </c>
      <c r="AE209" s="1">
        <f t="shared" si="321"/>
        <v>14.003185531769835</v>
      </c>
    </row>
    <row r="210" spans="1:31" ht="13.5" customHeight="1">
      <c r="K210" s="47"/>
      <c r="L210" s="47"/>
      <c r="M210" s="47"/>
      <c r="N210" s="47">
        <f>SUM(N200:N209)</f>
        <v>4001.5927658849178</v>
      </c>
      <c r="O210" s="2" t="s">
        <v>46</v>
      </c>
      <c r="P210" s="2"/>
      <c r="Q210" s="2"/>
      <c r="R210" s="49">
        <f>R190</f>
        <v>75</v>
      </c>
      <c r="S210" s="50" t="s">
        <v>45</v>
      </c>
      <c r="T210" s="2"/>
      <c r="U210" s="11">
        <f>U209</f>
        <v>64.647985115347353</v>
      </c>
      <c r="V210" s="47"/>
      <c r="W210" s="2"/>
      <c r="Y210" s="1">
        <f>N211</f>
        <v>14.003185531769835</v>
      </c>
      <c r="AE210" s="1">
        <f t="shared" si="321"/>
        <v>14.003185531769835</v>
      </c>
    </row>
    <row r="211" spans="1:31" ht="13.5" customHeight="1">
      <c r="K211" s="47"/>
      <c r="L211" s="2" t="s">
        <v>44</v>
      </c>
      <c r="M211" s="2"/>
      <c r="N211" s="47">
        <f>N210*2/1000+Y211</f>
        <v>14.003185531769835</v>
      </c>
      <c r="O211" s="2" t="s">
        <v>1</v>
      </c>
      <c r="P211" s="1">
        <f>SUM(P200:P209)</f>
        <v>79.442336281136022</v>
      </c>
      <c r="Q211" s="1" t="s">
        <v>43</v>
      </c>
      <c r="S211" s="47"/>
      <c r="U211" s="47"/>
      <c r="V211" s="47"/>
      <c r="W211" s="2"/>
      <c r="Y211" s="3">
        <f>Y191</f>
        <v>6</v>
      </c>
      <c r="Z211" s="3" t="s">
        <v>42</v>
      </c>
      <c r="AE211" s="1">
        <f>N211</f>
        <v>14.003185531769835</v>
      </c>
    </row>
    <row r="212" spans="1:31" ht="13.5" customHeight="1">
      <c r="L212" s="60" t="s">
        <v>41</v>
      </c>
      <c r="N212" s="3">
        <f>N192</f>
        <v>15</v>
      </c>
      <c r="O212" s="1" t="s">
        <v>1</v>
      </c>
    </row>
    <row r="215" spans="1:31" ht="13.5" customHeight="1" thickBot="1"/>
    <row r="216" spans="1:31" ht="13.5" customHeight="1">
      <c r="B216" s="14" t="s">
        <v>40</v>
      </c>
      <c r="C216" s="15"/>
      <c r="D216" s="15"/>
      <c r="E216" s="15"/>
      <c r="F216" s="15"/>
      <c r="G216" s="15"/>
      <c r="H216" s="15" t="s">
        <v>39</v>
      </c>
      <c r="I216" s="16"/>
      <c r="J216" s="14" t="s">
        <v>38</v>
      </c>
      <c r="K216" s="15"/>
      <c r="L216" s="15"/>
      <c r="M216" s="15"/>
      <c r="N216" s="15" t="s">
        <v>37</v>
      </c>
      <c r="O216" s="15"/>
      <c r="P216" s="15"/>
      <c r="Q216" s="15"/>
      <c r="R216" s="15"/>
      <c r="S216" s="16"/>
      <c r="T216" s="14" t="s">
        <v>36</v>
      </c>
      <c r="U216" s="15"/>
      <c r="V216" s="16"/>
      <c r="W216" s="14"/>
      <c r="X216" s="15"/>
      <c r="Y216" s="15"/>
      <c r="Z216" s="16"/>
    </row>
    <row r="217" spans="1:31" ht="13.5" customHeight="1">
      <c r="B217" s="17" t="s">
        <v>35</v>
      </c>
      <c r="C217" s="18" t="s">
        <v>22</v>
      </c>
      <c r="D217" s="18"/>
      <c r="E217" s="18" t="s">
        <v>34</v>
      </c>
      <c r="F217" s="18" t="s">
        <v>33</v>
      </c>
      <c r="G217" s="18" t="s">
        <v>7</v>
      </c>
      <c r="H217" s="18" t="s">
        <v>32</v>
      </c>
      <c r="I217" s="19" t="s">
        <v>22</v>
      </c>
      <c r="J217" s="17" t="s">
        <v>31</v>
      </c>
      <c r="K217" s="18"/>
      <c r="L217" s="18" t="s">
        <v>30</v>
      </c>
      <c r="M217" s="18"/>
      <c r="N217" s="18" t="s">
        <v>29</v>
      </c>
      <c r="O217" s="18"/>
      <c r="P217" s="18" t="s">
        <v>28</v>
      </c>
      <c r="Q217" s="20" t="s">
        <v>27</v>
      </c>
      <c r="R217" s="21" t="s">
        <v>26</v>
      </c>
      <c r="S217" s="22" t="s">
        <v>7</v>
      </c>
      <c r="T217" s="23" t="s">
        <v>25</v>
      </c>
      <c r="U217" s="24" t="s">
        <v>24</v>
      </c>
      <c r="V217" s="25" t="s">
        <v>7</v>
      </c>
      <c r="W217" s="26" t="s">
        <v>23</v>
      </c>
      <c r="X217" s="4" t="s">
        <v>22</v>
      </c>
      <c r="Y217" s="4" t="s">
        <v>21</v>
      </c>
      <c r="Z217" s="5" t="s">
        <v>20</v>
      </c>
    </row>
    <row r="218" spans="1:31" ht="13.5" customHeight="1">
      <c r="B218" s="54" t="s">
        <v>3</v>
      </c>
      <c r="C218" s="28" t="s">
        <v>17</v>
      </c>
      <c r="D218" s="20" t="s">
        <v>13</v>
      </c>
      <c r="E218" s="20" t="s">
        <v>19</v>
      </c>
      <c r="F218" s="28" t="s">
        <v>19</v>
      </c>
      <c r="G218" s="20" t="s">
        <v>3</v>
      </c>
      <c r="H218" s="20" t="s">
        <v>19</v>
      </c>
      <c r="I218" s="29" t="s">
        <v>12</v>
      </c>
      <c r="J218" s="55" t="s">
        <v>18</v>
      </c>
      <c r="K218" s="20" t="s">
        <v>17</v>
      </c>
      <c r="L218" s="56" t="s">
        <v>16</v>
      </c>
      <c r="M218" s="20" t="s">
        <v>15</v>
      </c>
      <c r="N218" s="20" t="s">
        <v>14</v>
      </c>
      <c r="O218" s="20" t="s">
        <v>13</v>
      </c>
      <c r="P218" s="20" t="s">
        <v>12</v>
      </c>
      <c r="Q218" s="20" t="s">
        <v>11</v>
      </c>
      <c r="R218" s="21" t="s">
        <v>11</v>
      </c>
      <c r="S218" s="22" t="s">
        <v>10</v>
      </c>
      <c r="T218" s="23" t="s">
        <v>9</v>
      </c>
      <c r="U218" s="24" t="s">
        <v>9</v>
      </c>
      <c r="V218" s="33" t="s">
        <v>8</v>
      </c>
      <c r="W218" s="34" t="s">
        <v>7</v>
      </c>
      <c r="X218" s="4" t="s">
        <v>6</v>
      </c>
      <c r="Y218" s="6" t="s">
        <v>5</v>
      </c>
      <c r="Z218" s="7" t="s">
        <v>5</v>
      </c>
    </row>
    <row r="219" spans="1:31" ht="13.5" customHeight="1" thickBot="1">
      <c r="B219" s="57"/>
      <c r="C219" s="3">
        <f>C199</f>
        <v>1.05</v>
      </c>
      <c r="D219" s="37"/>
      <c r="E219" s="38"/>
      <c r="F219" s="38"/>
      <c r="G219" s="37"/>
      <c r="H219" s="37"/>
      <c r="I219" s="39"/>
      <c r="J219" s="58" t="s">
        <v>4</v>
      </c>
      <c r="K219" s="44"/>
      <c r="L219" s="59"/>
      <c r="M219" s="37"/>
      <c r="N219" s="37"/>
      <c r="O219" s="37"/>
      <c r="P219" s="37"/>
      <c r="Q219" s="42"/>
      <c r="R219" s="42"/>
      <c r="S219" s="52" t="s">
        <v>3</v>
      </c>
      <c r="T219" s="43"/>
      <c r="U219" s="44"/>
      <c r="V219" s="39" t="s">
        <v>3</v>
      </c>
      <c r="W219" s="45" t="s">
        <v>3</v>
      </c>
      <c r="X219" s="8" t="s">
        <v>2</v>
      </c>
      <c r="Y219" s="9" t="s">
        <v>1</v>
      </c>
      <c r="Z219" s="13" t="s">
        <v>0</v>
      </c>
    </row>
    <row r="220" spans="1:31" ht="13.5" customHeight="1">
      <c r="A220" s="1">
        <v>1</v>
      </c>
      <c r="B220" s="3">
        <f t="shared" ref="B220:B229" si="325">B200</f>
        <v>1000</v>
      </c>
      <c r="C220" s="1">
        <f t="shared" ref="C220:C229" si="326">IF(B220&lt;1,0.000001,C200*(1+AB200))</f>
        <v>3.332498450507744E-2</v>
      </c>
      <c r="D220" s="1">
        <f t="shared" si="323"/>
        <v>0.86872161063923714</v>
      </c>
      <c r="E220" s="1">
        <f t="shared" ref="E220:E229" si="327">R220</f>
        <v>72.811750800585827</v>
      </c>
      <c r="F220" s="1">
        <f t="shared" ref="F220:F229" si="328">F200</f>
        <v>20</v>
      </c>
      <c r="G220" s="1">
        <f t="shared" ref="G220:G229" si="329">(E220-F220)*C220*(1-D220)*4200</f>
        <v>970.38271417059093</v>
      </c>
      <c r="H220" s="1">
        <f t="shared" ref="H220:H229" si="330">(E220-F220)*D220+F220</f>
        <v>65.878709216162946</v>
      </c>
      <c r="I220" s="1">
        <f t="shared" ref="I220:I229" si="331">B220*0.001*6/C220</f>
        <v>180.04509496728593</v>
      </c>
      <c r="J220" s="3">
        <f t="shared" ref="J220:J229" si="332">J200</f>
        <v>10</v>
      </c>
      <c r="K220" s="47">
        <f t="shared" ref="K220:K229" si="333">K219+C220</f>
        <v>3.332498450507744E-2</v>
      </c>
      <c r="L220" s="3">
        <f t="shared" ref="L220:L229" si="334">L200</f>
        <v>3</v>
      </c>
      <c r="M220" s="47">
        <f t="shared" ref="M220:M229" si="335">K220/(J220*J220*3.14/4000)</f>
        <v>0.42452209560608206</v>
      </c>
      <c r="N220" s="47">
        <f t="shared" ref="N220:N229" si="336">L220*26400/J220^1.27*M220^1.83*$N$69</f>
        <v>1108.390366579592</v>
      </c>
      <c r="O220" s="1">
        <f t="shared" ref="O220:O229" si="337">EXP(-(J220+2)*3.14/1000*$O$66/(M220*J220*J220*3.14/4000*4200)*L220)</f>
        <v>0.99195621721260041</v>
      </c>
      <c r="P220" s="1">
        <f t="shared" ref="P220:P229" si="338">L220/M220</f>
        <v>7.0667699774659729</v>
      </c>
      <c r="Q220" s="1">
        <f t="shared" ref="Q220:Q229" si="339">R221</f>
        <v>73.24000181075229</v>
      </c>
      <c r="R220" s="1">
        <f t="shared" ref="R220:R229" si="340">(Q220-F220)*O220+F220</f>
        <v>72.811750800585827</v>
      </c>
      <c r="S220" s="47">
        <f t="shared" ref="S220:S229" si="341">K220*(1-O220)*4200*(Q220-F220)</f>
        <v>59.940124767939281</v>
      </c>
      <c r="T220" s="1">
        <f t="shared" ref="T220:T229" si="342">(U219*K219+H220*C220)/K220</f>
        <v>65.878709216162946</v>
      </c>
      <c r="U220" s="47">
        <f t="shared" ref="U220:U229" si="343">(T220-F220)*O220+F220</f>
        <v>65.509670844661855</v>
      </c>
      <c r="V220" s="47">
        <f t="shared" ref="V220:V229" si="344">K220*(1-O220)*4200*(T220-F220)</f>
        <v>51.652431650620848</v>
      </c>
      <c r="W220" s="2">
        <f t="shared" si="324"/>
        <v>970.39271417059092</v>
      </c>
      <c r="X220" s="1">
        <f t="shared" ref="X220:X229" si="345">C220*3600</f>
        <v>119.96994421827878</v>
      </c>
      <c r="Y220" s="1">
        <f t="shared" ref="Y220:Y229" si="346">Y221-2*N220/1000</f>
        <v>6.0000000000000009</v>
      </c>
      <c r="Z220" s="2">
        <f t="shared" ref="Z220:Z229" si="347">-1.1-1.8*LOG10(Y220/X220/X220)</f>
        <v>4.983988594228185</v>
      </c>
      <c r="AA220" s="3">
        <f t="shared" ref="AA220:AA229" si="348">AA200</f>
        <v>1000</v>
      </c>
      <c r="AB220" s="1">
        <f t="shared" ref="AB220" si="349">((AA220/W220)-1)*AB$23+AC220+AD220</f>
        <v>3.0510622552143651E-2</v>
      </c>
      <c r="AC220" s="1">
        <f>((N232/N231)-1)*AB$24</f>
        <v>0</v>
      </c>
      <c r="AD220" s="64">
        <f t="shared" ref="AD220" si="350">(AC$21-(X220/1000/SQRT(Y220/104))*1000/B220)*AB$21</f>
        <v>0</v>
      </c>
      <c r="AE220" s="1">
        <f t="shared" ref="AE220:AE230" si="351">AE221</f>
        <v>14.400783714237424</v>
      </c>
    </row>
    <row r="221" spans="1:31" ht="13.5" customHeight="1">
      <c r="A221" s="1">
        <v>2</v>
      </c>
      <c r="B221" s="3">
        <f t="shared" si="325"/>
        <v>1000</v>
      </c>
      <c r="C221" s="1">
        <f t="shared" si="326"/>
        <v>3.1326062900695506E-2</v>
      </c>
      <c r="D221" s="1">
        <f t="shared" si="323"/>
        <v>0.86056811891695939</v>
      </c>
      <c r="E221" s="1">
        <f t="shared" si="327"/>
        <v>73.24000181075229</v>
      </c>
      <c r="F221" s="1">
        <f t="shared" si="328"/>
        <v>20</v>
      </c>
      <c r="G221" s="1">
        <f t="shared" si="329"/>
        <v>976.68665576835645</v>
      </c>
      <c r="H221" s="1">
        <f t="shared" si="330"/>
        <v>65.816648209414609</v>
      </c>
      <c r="I221" s="1">
        <f t="shared" si="331"/>
        <v>191.53380426452463</v>
      </c>
      <c r="J221" s="3">
        <f t="shared" si="332"/>
        <v>14.142135623730951</v>
      </c>
      <c r="K221" s="47">
        <f t="shared" si="333"/>
        <v>6.4651047405772946E-2</v>
      </c>
      <c r="L221" s="3">
        <f t="shared" si="334"/>
        <v>3</v>
      </c>
      <c r="M221" s="47">
        <f t="shared" si="335"/>
        <v>0.41179011086479578</v>
      </c>
      <c r="N221" s="47">
        <f t="shared" si="336"/>
        <v>675.05330493235647</v>
      </c>
      <c r="O221" s="1">
        <f t="shared" si="337"/>
        <v>0.9944156634400142</v>
      </c>
      <c r="P221" s="1">
        <f t="shared" si="338"/>
        <v>7.285264800797993</v>
      </c>
      <c r="Q221" s="1">
        <f t="shared" si="339"/>
        <v>73.538981502541333</v>
      </c>
      <c r="R221" s="1">
        <f t="shared" si="340"/>
        <v>73.24000181075229</v>
      </c>
      <c r="S221" s="47">
        <f t="shared" si="341"/>
        <v>81.183270954311169</v>
      </c>
      <c r="T221" s="1">
        <f t="shared" si="342"/>
        <v>65.658413867755954</v>
      </c>
      <c r="U221" s="47">
        <f t="shared" si="343"/>
        <v>65.403441917923288</v>
      </c>
      <c r="V221" s="47">
        <f t="shared" si="344"/>
        <v>69.233655186252733</v>
      </c>
      <c r="W221" s="2">
        <f t="shared" si="324"/>
        <v>976.69665576835644</v>
      </c>
      <c r="X221" s="1">
        <f t="shared" si="345"/>
        <v>112.77382644250382</v>
      </c>
      <c r="Y221" s="1">
        <f t="shared" si="346"/>
        <v>8.2167807331591849</v>
      </c>
      <c r="Z221" s="2">
        <f t="shared" si="347"/>
        <v>4.6414868828620133</v>
      </c>
      <c r="AA221" s="3">
        <f t="shared" si="348"/>
        <v>1000</v>
      </c>
      <c r="AB221" s="1">
        <f t="shared" si="293"/>
        <v>2.3859346803344117E-2</v>
      </c>
      <c r="AC221" s="1">
        <f t="shared" ref="AC221:AC229" si="352">AC220</f>
        <v>0</v>
      </c>
      <c r="AD221" s="64">
        <f t="shared" si="294"/>
        <v>0</v>
      </c>
      <c r="AE221" s="1">
        <f t="shared" si="351"/>
        <v>14.400783714237424</v>
      </c>
    </row>
    <row r="222" spans="1:31" ht="13.5" customHeight="1">
      <c r="A222" s="1">
        <v>3</v>
      </c>
      <c r="B222" s="3">
        <f t="shared" si="325"/>
        <v>1000</v>
      </c>
      <c r="C222" s="1">
        <f t="shared" si="326"/>
        <v>3.003886102776452E-2</v>
      </c>
      <c r="D222" s="1">
        <f t="shared" si="323"/>
        <v>0.85476849541550148</v>
      </c>
      <c r="E222" s="1">
        <f t="shared" si="327"/>
        <v>73.538981502541333</v>
      </c>
      <c r="F222" s="1">
        <f t="shared" si="328"/>
        <v>20</v>
      </c>
      <c r="G222" s="1">
        <f t="shared" si="329"/>
        <v>980.98799764395858</v>
      </c>
      <c r="H222" s="1">
        <f t="shared" si="330"/>
        <v>65.763434665005619</v>
      </c>
      <c r="I222" s="1">
        <f t="shared" si="331"/>
        <v>199.74126164285255</v>
      </c>
      <c r="J222" s="3">
        <f t="shared" si="332"/>
        <v>17.320508075688775</v>
      </c>
      <c r="K222" s="47">
        <f t="shared" si="333"/>
        <v>9.4689908433537473E-2</v>
      </c>
      <c r="L222" s="3">
        <f t="shared" si="334"/>
        <v>3</v>
      </c>
      <c r="M222" s="47">
        <f t="shared" si="335"/>
        <v>0.40208029058826938</v>
      </c>
      <c r="N222" s="47">
        <f t="shared" si="336"/>
        <v>499.52312073824464</v>
      </c>
      <c r="O222" s="1">
        <f t="shared" si="337"/>
        <v>0.99543413462296615</v>
      </c>
      <c r="P222" s="1">
        <f t="shared" si="338"/>
        <v>7.4611963585949628</v>
      </c>
      <c r="Q222" s="1">
        <f t="shared" si="339"/>
        <v>73.784554537925231</v>
      </c>
      <c r="R222" s="1">
        <f t="shared" si="340"/>
        <v>73.538981502541333</v>
      </c>
      <c r="S222" s="47">
        <f t="shared" si="341"/>
        <v>97.663810583839535</v>
      </c>
      <c r="T222" s="1">
        <f t="shared" si="342"/>
        <v>65.517643866995812</v>
      </c>
      <c r="U222" s="47">
        <f t="shared" si="343"/>
        <v>65.309816432819332</v>
      </c>
      <c r="V222" s="47">
        <f t="shared" si="344"/>
        <v>82.652474991018664</v>
      </c>
      <c r="W222" s="2">
        <f t="shared" si="324"/>
        <v>980.99799764395857</v>
      </c>
      <c r="X222" s="1">
        <f t="shared" si="345"/>
        <v>108.13989969995227</v>
      </c>
      <c r="Y222" s="1">
        <f t="shared" si="346"/>
        <v>9.5668873430238985</v>
      </c>
      <c r="Z222" s="2">
        <f t="shared" si="347"/>
        <v>4.4569622769963857</v>
      </c>
      <c r="AA222" s="3">
        <f t="shared" si="348"/>
        <v>1000</v>
      </c>
      <c r="AB222" s="1">
        <f t="shared" si="293"/>
        <v>1.9370072519697468E-2</v>
      </c>
      <c r="AC222" s="1">
        <f t="shared" si="352"/>
        <v>0</v>
      </c>
      <c r="AD222" s="64">
        <f t="shared" si="294"/>
        <v>0</v>
      </c>
      <c r="AE222" s="1">
        <f t="shared" si="351"/>
        <v>14.400783714237424</v>
      </c>
    </row>
    <row r="223" spans="1:31" ht="13.5" customHeight="1">
      <c r="A223" s="1">
        <v>4</v>
      </c>
      <c r="B223" s="3">
        <f t="shared" si="325"/>
        <v>1000</v>
      </c>
      <c r="C223" s="1">
        <f t="shared" si="326"/>
        <v>2.9043050185802256E-2</v>
      </c>
      <c r="D223" s="1">
        <f t="shared" si="323"/>
        <v>0.84994525350819017</v>
      </c>
      <c r="E223" s="1">
        <f t="shared" si="327"/>
        <v>73.784554537925231</v>
      </c>
      <c r="F223" s="1">
        <f t="shared" si="328"/>
        <v>20</v>
      </c>
      <c r="G223" s="1">
        <f t="shared" si="329"/>
        <v>984.46170990889982</v>
      </c>
      <c r="H223" s="1">
        <f t="shared" si="330"/>
        <v>65.713926841561943</v>
      </c>
      <c r="I223" s="1">
        <f t="shared" si="331"/>
        <v>206.58987129847367</v>
      </c>
      <c r="J223" s="3">
        <f t="shared" si="332"/>
        <v>20</v>
      </c>
      <c r="K223" s="47">
        <f t="shared" si="333"/>
        <v>0.12373295861933972</v>
      </c>
      <c r="L223" s="3">
        <f t="shared" si="334"/>
        <v>3</v>
      </c>
      <c r="M223" s="47">
        <f t="shared" si="335"/>
        <v>0.39405400834184623</v>
      </c>
      <c r="N223" s="47">
        <f t="shared" si="336"/>
        <v>401.04593782708088</v>
      </c>
      <c r="O223" s="1">
        <f t="shared" si="337"/>
        <v>0.99602009017079407</v>
      </c>
      <c r="P223" s="1">
        <f t="shared" si="338"/>
        <v>7.6131696074449433</v>
      </c>
      <c r="Q223" s="1">
        <f t="shared" si="339"/>
        <v>73.999467549597753</v>
      </c>
      <c r="R223" s="1">
        <f t="shared" si="340"/>
        <v>73.784554537925231</v>
      </c>
      <c r="S223" s="47">
        <f t="shared" si="341"/>
        <v>111.68565567614665</v>
      </c>
      <c r="T223" s="1">
        <f t="shared" si="342"/>
        <v>65.404670698107083</v>
      </c>
      <c r="U223" s="47">
        <f t="shared" si="343"/>
        <v>65.223964202903829</v>
      </c>
      <c r="V223" s="47">
        <f t="shared" si="344"/>
        <v>93.909267031567012</v>
      </c>
      <c r="W223" s="2">
        <f t="shared" si="324"/>
        <v>984.47170990889981</v>
      </c>
      <c r="X223" s="1">
        <f t="shared" si="345"/>
        <v>104.55498066888812</v>
      </c>
      <c r="Y223" s="1">
        <f t="shared" si="346"/>
        <v>10.565933584500387</v>
      </c>
      <c r="Z223" s="2">
        <f t="shared" si="347"/>
        <v>4.3266068361908037</v>
      </c>
      <c r="AA223" s="3">
        <f t="shared" si="348"/>
        <v>1000</v>
      </c>
      <c r="AB223" s="1">
        <f t="shared" si="293"/>
        <v>1.5773221246283553E-2</v>
      </c>
      <c r="AC223" s="1">
        <f t="shared" si="352"/>
        <v>0</v>
      </c>
      <c r="AD223" s="64">
        <f t="shared" si="294"/>
        <v>0</v>
      </c>
      <c r="AE223" s="1">
        <f t="shared" si="351"/>
        <v>14.400783714237424</v>
      </c>
    </row>
    <row r="224" spans="1:31" ht="13.5" customHeight="1">
      <c r="A224" s="1">
        <v>5</v>
      </c>
      <c r="B224" s="3">
        <f t="shared" si="325"/>
        <v>1000</v>
      </c>
      <c r="C224" s="1">
        <f t="shared" si="326"/>
        <v>2.8214000166066237E-2</v>
      </c>
      <c r="D224" s="1">
        <f t="shared" si="323"/>
        <v>0.84568244067703802</v>
      </c>
      <c r="E224" s="1">
        <f t="shared" si="327"/>
        <v>73.999467549597753</v>
      </c>
      <c r="F224" s="1">
        <f t="shared" si="328"/>
        <v>20</v>
      </c>
      <c r="G224" s="1">
        <f t="shared" si="329"/>
        <v>987.45833151660679</v>
      </c>
      <c r="H224" s="1">
        <f t="shared" si="330"/>
        <v>65.666401512604338</v>
      </c>
      <c r="I224" s="1">
        <f t="shared" si="331"/>
        <v>212.66038011924189</v>
      </c>
      <c r="J224" s="3">
        <f t="shared" si="332"/>
        <v>22.360679774997898</v>
      </c>
      <c r="K224" s="47">
        <f t="shared" si="333"/>
        <v>0.15194695878540596</v>
      </c>
      <c r="L224" s="3">
        <f t="shared" si="334"/>
        <v>3</v>
      </c>
      <c r="M224" s="47">
        <f t="shared" si="335"/>
        <v>0.38712600964434629</v>
      </c>
      <c r="N224" s="47">
        <f t="shared" si="336"/>
        <v>336.94502177081011</v>
      </c>
      <c r="O224" s="1">
        <f t="shared" si="337"/>
        <v>0.99641062847716499</v>
      </c>
      <c r="P224" s="1">
        <f t="shared" si="338"/>
        <v>7.7494147261149102</v>
      </c>
      <c r="Q224" s="1">
        <f t="shared" si="339"/>
        <v>74.193989913702808</v>
      </c>
      <c r="R224" s="1">
        <f t="shared" si="340"/>
        <v>73.999467549597753</v>
      </c>
      <c r="S224" s="47">
        <f t="shared" si="341"/>
        <v>124.13974289434252</v>
      </c>
      <c r="T224" s="1">
        <f t="shared" si="342"/>
        <v>65.306117386022109</v>
      </c>
      <c r="U224" s="47">
        <f t="shared" si="343"/>
        <v>65.143496898466509</v>
      </c>
      <c r="V224" s="47">
        <f t="shared" si="344"/>
        <v>103.78069178515308</v>
      </c>
      <c r="W224" s="2">
        <f t="shared" si="324"/>
        <v>987.46833151660678</v>
      </c>
      <c r="X224" s="1">
        <f t="shared" si="345"/>
        <v>101.57040059783846</v>
      </c>
      <c r="Y224" s="1">
        <f t="shared" si="346"/>
        <v>11.368025460154549</v>
      </c>
      <c r="Z224" s="2">
        <f t="shared" si="347"/>
        <v>4.224128727548532</v>
      </c>
      <c r="AA224" s="3">
        <f t="shared" si="348"/>
        <v>1000</v>
      </c>
      <c r="AB224" s="1">
        <f t="shared" si="293"/>
        <v>1.2690704181010481E-2</v>
      </c>
      <c r="AC224" s="1">
        <f t="shared" si="352"/>
        <v>0</v>
      </c>
      <c r="AD224" s="64">
        <f t="shared" si="294"/>
        <v>0</v>
      </c>
      <c r="AE224" s="1">
        <f t="shared" si="351"/>
        <v>14.400783714237424</v>
      </c>
    </row>
    <row r="225" spans="1:31" ht="13.5" customHeight="1">
      <c r="A225" s="1">
        <v>6</v>
      </c>
      <c r="B225" s="3">
        <f t="shared" si="325"/>
        <v>1000</v>
      </c>
      <c r="C225" s="1">
        <f t="shared" si="326"/>
        <v>2.7495735369877896E-2</v>
      </c>
      <c r="D225" s="1">
        <f t="shared" si="323"/>
        <v>0.84179178027574986</v>
      </c>
      <c r="E225" s="1">
        <f t="shared" si="327"/>
        <v>74.193989913702808</v>
      </c>
      <c r="F225" s="1">
        <f t="shared" si="328"/>
        <v>20</v>
      </c>
      <c r="G225" s="1">
        <f t="shared" si="329"/>
        <v>990.13588211996398</v>
      </c>
      <c r="H225" s="1">
        <f t="shared" si="330"/>
        <v>65.62005524970192</v>
      </c>
      <c r="I225" s="1">
        <f t="shared" si="331"/>
        <v>218.21565851165104</v>
      </c>
      <c r="J225" s="3">
        <f t="shared" si="332"/>
        <v>24.494897427831781</v>
      </c>
      <c r="K225" s="47">
        <f t="shared" si="333"/>
        <v>0.17944269415528386</v>
      </c>
      <c r="L225" s="3">
        <f t="shared" si="334"/>
        <v>3</v>
      </c>
      <c r="M225" s="47">
        <f t="shared" si="335"/>
        <v>0.38098236551015685</v>
      </c>
      <c r="N225" s="47">
        <f t="shared" si="336"/>
        <v>291.45067804588695</v>
      </c>
      <c r="O225" s="1">
        <f t="shared" si="337"/>
        <v>0.99669387578034496</v>
      </c>
      <c r="P225" s="1">
        <f t="shared" si="338"/>
        <v>7.8743802117529276</v>
      </c>
      <c r="Q225" s="1">
        <f t="shared" si="339"/>
        <v>74.373756306340823</v>
      </c>
      <c r="R225" s="1">
        <f t="shared" si="340"/>
        <v>74.193989913702808</v>
      </c>
      <c r="S225" s="47">
        <f t="shared" si="341"/>
        <v>135.4826164168758</v>
      </c>
      <c r="T225" s="1">
        <f t="shared" si="342"/>
        <v>65.216519221139265</v>
      </c>
      <c r="U225" s="47">
        <f t="shared" si="343"/>
        <v>65.067027791813757</v>
      </c>
      <c r="V225" s="47">
        <f t="shared" si="344"/>
        <v>112.66560829143066</v>
      </c>
      <c r="W225" s="2">
        <f t="shared" si="324"/>
        <v>990.14588211996397</v>
      </c>
      <c r="X225" s="1">
        <f t="shared" si="345"/>
        <v>98.984647331560424</v>
      </c>
      <c r="Y225" s="1">
        <f t="shared" si="346"/>
        <v>12.041915503696169</v>
      </c>
      <c r="Z225" s="2">
        <f t="shared" si="347"/>
        <v>4.1387921884190906</v>
      </c>
      <c r="AA225" s="3">
        <f t="shared" si="348"/>
        <v>1000</v>
      </c>
      <c r="AB225" s="1">
        <f t="shared" si="293"/>
        <v>9.9521879128938728E-3</v>
      </c>
      <c r="AC225" s="1">
        <f t="shared" si="352"/>
        <v>0</v>
      </c>
      <c r="AD225" s="64">
        <f t="shared" si="294"/>
        <v>0</v>
      </c>
      <c r="AE225" s="1">
        <f t="shared" si="351"/>
        <v>14.400783714237424</v>
      </c>
    </row>
    <row r="226" spans="1:31" ht="13.5" customHeight="1">
      <c r="A226" s="1">
        <v>7</v>
      </c>
      <c r="B226" s="3">
        <f t="shared" si="325"/>
        <v>1000</v>
      </c>
      <c r="C226" s="1">
        <f t="shared" si="326"/>
        <v>2.6857644359181813E-2</v>
      </c>
      <c r="D226" s="1">
        <f t="shared" si="323"/>
        <v>0.8381698538332486</v>
      </c>
      <c r="E226" s="1">
        <f t="shared" si="327"/>
        <v>74.373756306340823</v>
      </c>
      <c r="F226" s="1">
        <f t="shared" si="328"/>
        <v>20</v>
      </c>
      <c r="G226" s="1">
        <f t="shared" si="329"/>
        <v>992.58103265006321</v>
      </c>
      <c r="H226" s="1">
        <f t="shared" si="330"/>
        <v>65.574443375650361</v>
      </c>
      <c r="I226" s="1">
        <f t="shared" si="331"/>
        <v>223.40008378094345</v>
      </c>
      <c r="J226" s="3">
        <f t="shared" si="332"/>
        <v>26.457513110645905</v>
      </c>
      <c r="K226" s="47">
        <f t="shared" si="333"/>
        <v>0.20630033851446566</v>
      </c>
      <c r="L226" s="3">
        <f t="shared" si="334"/>
        <v>3</v>
      </c>
      <c r="M226" s="47">
        <f t="shared" si="335"/>
        <v>0.37543282714188475</v>
      </c>
      <c r="N226" s="47">
        <f t="shared" si="336"/>
        <v>257.27165803630282</v>
      </c>
      <c r="O226" s="1">
        <f t="shared" si="337"/>
        <v>0.99691093554912846</v>
      </c>
      <c r="P226" s="1">
        <f t="shared" si="338"/>
        <v>7.9907769995462612</v>
      </c>
      <c r="Q226" s="1">
        <f t="shared" si="339"/>
        <v>74.542240803477711</v>
      </c>
      <c r="R226" s="1">
        <f t="shared" si="340"/>
        <v>74.373756306340823</v>
      </c>
      <c r="S226" s="47">
        <f t="shared" si="341"/>
        <v>145.98531693388264</v>
      </c>
      <c r="T226" s="1">
        <f t="shared" si="342"/>
        <v>65.13308675900268</v>
      </c>
      <c r="U226" s="47">
        <f t="shared" si="343"/>
        <v>64.993667745137344</v>
      </c>
      <c r="V226" s="47">
        <f t="shared" si="344"/>
        <v>120.80119697424161</v>
      </c>
      <c r="W226" s="2">
        <f t="shared" si="324"/>
        <v>992.5910326500632</v>
      </c>
      <c r="X226" s="1">
        <f t="shared" si="345"/>
        <v>96.687519693054526</v>
      </c>
      <c r="Y226" s="1">
        <f t="shared" si="346"/>
        <v>12.624816859787943</v>
      </c>
      <c r="Z226" s="2">
        <f t="shared" si="347"/>
        <v>4.0651283539546306</v>
      </c>
      <c r="AA226" s="3">
        <f t="shared" si="348"/>
        <v>1000</v>
      </c>
      <c r="AB226" s="1">
        <f t="shared" si="293"/>
        <v>7.4642698817819486E-3</v>
      </c>
      <c r="AC226" s="1">
        <f t="shared" si="352"/>
        <v>0</v>
      </c>
      <c r="AD226" s="64">
        <f t="shared" si="294"/>
        <v>0</v>
      </c>
      <c r="AE226" s="1">
        <f t="shared" si="351"/>
        <v>14.400783714237424</v>
      </c>
    </row>
    <row r="227" spans="1:31" ht="13.5" customHeight="1">
      <c r="A227" s="1">
        <v>8</v>
      </c>
      <c r="B227" s="3">
        <f t="shared" si="325"/>
        <v>1000</v>
      </c>
      <c r="C227" s="1">
        <f t="shared" si="326"/>
        <v>2.6280898892852268E-2</v>
      </c>
      <c r="D227" s="1">
        <f t="shared" si="323"/>
        <v>0.83475287511566065</v>
      </c>
      <c r="E227" s="1">
        <f t="shared" si="327"/>
        <v>74.542240803477711</v>
      </c>
      <c r="F227" s="1">
        <f t="shared" si="328"/>
        <v>20</v>
      </c>
      <c r="G227" s="1">
        <f t="shared" si="329"/>
        <v>994.84722819003809</v>
      </c>
      <c r="H227" s="1">
        <f t="shared" si="330"/>
        <v>65.529292325953719</v>
      </c>
      <c r="I227" s="1">
        <f t="shared" si="331"/>
        <v>228.30269331586092</v>
      </c>
      <c r="J227" s="3">
        <f t="shared" si="332"/>
        <v>28.284271247461902</v>
      </c>
      <c r="K227" s="47">
        <f t="shared" si="333"/>
        <v>0.23258123740731793</v>
      </c>
      <c r="L227" s="3">
        <f t="shared" si="334"/>
        <v>3</v>
      </c>
      <c r="M227" s="47">
        <f t="shared" si="335"/>
        <v>0.37035228886515587</v>
      </c>
      <c r="N227" s="47">
        <f t="shared" si="336"/>
        <v>230.53589904519922</v>
      </c>
      <c r="O227" s="1">
        <f t="shared" si="337"/>
        <v>0.99708384866585165</v>
      </c>
      <c r="P227" s="1">
        <f t="shared" si="338"/>
        <v>8.1003954618255136</v>
      </c>
      <c r="Q227" s="1">
        <f t="shared" si="339"/>
        <v>74.701759412167775</v>
      </c>
      <c r="R227" s="1">
        <f t="shared" si="340"/>
        <v>74.542240803477711</v>
      </c>
      <c r="S227" s="47">
        <f t="shared" si="341"/>
        <v>155.82434867423257</v>
      </c>
      <c r="T227" s="1">
        <f t="shared" si="342"/>
        <v>65.054191524311804</v>
      </c>
      <c r="U227" s="47">
        <f t="shared" si="343"/>
        <v>64.922806683589215</v>
      </c>
      <c r="V227" s="47">
        <f t="shared" si="344"/>
        <v>128.34212509366523</v>
      </c>
      <c r="W227" s="2">
        <f t="shared" si="324"/>
        <v>994.85722819003809</v>
      </c>
      <c r="X227" s="1">
        <f t="shared" si="345"/>
        <v>94.611236014268172</v>
      </c>
      <c r="Y227" s="1">
        <f t="shared" si="346"/>
        <v>13.139360175860549</v>
      </c>
      <c r="Z227" s="2">
        <f t="shared" si="347"/>
        <v>3.9999601865262755</v>
      </c>
      <c r="AA227" s="3">
        <f t="shared" si="348"/>
        <v>1000</v>
      </c>
      <c r="AB227" s="1">
        <f t="shared" si="293"/>
        <v>5.1693566315220707E-3</v>
      </c>
      <c r="AC227" s="1">
        <f t="shared" si="352"/>
        <v>0</v>
      </c>
      <c r="AD227" s="64">
        <f t="shared" si="294"/>
        <v>0</v>
      </c>
      <c r="AE227" s="1">
        <f t="shared" si="351"/>
        <v>14.400783714237424</v>
      </c>
    </row>
    <row r="228" spans="1:31" ht="13.5" customHeight="1">
      <c r="A228" s="1">
        <v>9</v>
      </c>
      <c r="B228" s="3">
        <f t="shared" si="325"/>
        <v>1000</v>
      </c>
      <c r="C228" s="1">
        <f t="shared" si="326"/>
        <v>2.5752970393359307E-2</v>
      </c>
      <c r="D228" s="1">
        <f t="shared" si="323"/>
        <v>0.83149832380515232</v>
      </c>
      <c r="E228" s="1">
        <f t="shared" si="327"/>
        <v>74.701759412167775</v>
      </c>
      <c r="F228" s="1">
        <f t="shared" si="328"/>
        <v>20</v>
      </c>
      <c r="G228" s="1">
        <f t="shared" si="329"/>
        <v>996.97011341673283</v>
      </c>
      <c r="H228" s="1">
        <f t="shared" si="330"/>
        <v>65.484421260410215</v>
      </c>
      <c r="I228" s="1">
        <f t="shared" si="331"/>
        <v>232.98283298408046</v>
      </c>
      <c r="J228" s="3">
        <f t="shared" si="332"/>
        <v>30</v>
      </c>
      <c r="K228" s="47">
        <f t="shared" si="333"/>
        <v>0.25833420780067723</v>
      </c>
      <c r="L228" s="3">
        <f t="shared" si="334"/>
        <v>3</v>
      </c>
      <c r="M228" s="47">
        <f t="shared" si="335"/>
        <v>0.36565351422601167</v>
      </c>
      <c r="N228" s="47">
        <f t="shared" si="336"/>
        <v>208.98198343214918</v>
      </c>
      <c r="O228" s="1">
        <f t="shared" si="337"/>
        <v>0.99722561629216833</v>
      </c>
      <c r="P228" s="1">
        <f t="shared" si="338"/>
        <v>8.2044883565530018</v>
      </c>
      <c r="Q228" s="1">
        <f t="shared" si="339"/>
        <v>74.853945304330409</v>
      </c>
      <c r="R228" s="1">
        <f t="shared" si="340"/>
        <v>74.701759412167775</v>
      </c>
      <c r="S228" s="47">
        <f t="shared" si="341"/>
        <v>165.12225193913721</v>
      </c>
      <c r="T228" s="1">
        <f t="shared" si="342"/>
        <v>64.97879324337346</v>
      </c>
      <c r="U228" s="47">
        <f t="shared" si="343"/>
        <v>64.854004812201111</v>
      </c>
      <c r="V228" s="47">
        <f t="shared" si="344"/>
        <v>135.3959061403074</v>
      </c>
      <c r="W228" s="2">
        <f t="shared" si="324"/>
        <v>996.98011341673282</v>
      </c>
      <c r="X228" s="1">
        <f t="shared" si="345"/>
        <v>92.710693416093505</v>
      </c>
      <c r="Y228" s="1">
        <f t="shared" si="346"/>
        <v>13.600431973950947</v>
      </c>
      <c r="Z228" s="2">
        <f t="shared" si="347"/>
        <v>3.9412725209901605</v>
      </c>
      <c r="AA228" s="3">
        <f t="shared" si="348"/>
        <v>1000</v>
      </c>
      <c r="AB228" s="1">
        <f t="shared" si="293"/>
        <v>3.0290339221690221E-3</v>
      </c>
      <c r="AC228" s="1">
        <f t="shared" si="352"/>
        <v>0</v>
      </c>
      <c r="AD228" s="64">
        <f t="shared" si="294"/>
        <v>0</v>
      </c>
      <c r="AE228" s="1">
        <f t="shared" si="351"/>
        <v>14.400783714237424</v>
      </c>
    </row>
    <row r="229" spans="1:31" ht="13.5" customHeight="1">
      <c r="A229" s="1">
        <v>10</v>
      </c>
      <c r="B229" s="3">
        <f t="shared" si="325"/>
        <v>1000</v>
      </c>
      <c r="C229" s="1">
        <f t="shared" si="326"/>
        <v>2.5265037358236202E-2</v>
      </c>
      <c r="D229" s="1">
        <f t="shared" si="323"/>
        <v>0.82837622695092461</v>
      </c>
      <c r="E229" s="1">
        <f t="shared" si="327"/>
        <v>74.853945304330409</v>
      </c>
      <c r="F229" s="1">
        <f t="shared" si="328"/>
        <v>20</v>
      </c>
      <c r="G229" s="1">
        <f t="shared" si="329"/>
        <v>998.97483871162592</v>
      </c>
      <c r="H229" s="1">
        <f t="shared" si="330"/>
        <v>65.439704244573619</v>
      </c>
      <c r="I229" s="1">
        <f t="shared" si="331"/>
        <v>237.48233239972026</v>
      </c>
      <c r="J229" s="3">
        <f t="shared" si="332"/>
        <v>31.622776601683793</v>
      </c>
      <c r="K229" s="47">
        <f t="shared" si="333"/>
        <v>0.28359924515891344</v>
      </c>
      <c r="L229" s="3">
        <f t="shared" si="334"/>
        <v>3</v>
      </c>
      <c r="M229" s="47">
        <f t="shared" si="335"/>
        <v>0.36127292376931647</v>
      </c>
      <c r="N229" s="47">
        <f t="shared" si="336"/>
        <v>191.19388671108908</v>
      </c>
      <c r="O229" s="1">
        <f t="shared" si="337"/>
        <v>0.99734446007873478</v>
      </c>
      <c r="P229" s="1">
        <f t="shared" si="338"/>
        <v>8.3039713264412516</v>
      </c>
      <c r="Q229" s="1">
        <f t="shared" si="339"/>
        <v>75</v>
      </c>
      <c r="R229" s="1">
        <f t="shared" si="340"/>
        <v>74.853945304330409</v>
      </c>
      <c r="S229" s="47">
        <f t="shared" si="341"/>
        <v>173.96820606400053</v>
      </c>
      <c r="T229" s="1">
        <f t="shared" si="342"/>
        <v>64.906183082391138</v>
      </c>
      <c r="U229" s="47">
        <f t="shared" si="343"/>
        <v>64.786932920504199</v>
      </c>
      <c r="V229" s="47">
        <f t="shared" si="344"/>
        <v>142.04087476409376</v>
      </c>
      <c r="W229" s="2">
        <f t="shared" si="324"/>
        <v>998.98483871162591</v>
      </c>
      <c r="X229" s="1">
        <f t="shared" si="345"/>
        <v>90.954134489650329</v>
      </c>
      <c r="Y229" s="1">
        <f t="shared" si="346"/>
        <v>14.018395940815246</v>
      </c>
      <c r="Z229" s="2">
        <f t="shared" si="347"/>
        <v>3.8877038238934492</v>
      </c>
      <c r="AA229" s="3">
        <f t="shared" si="348"/>
        <v>1000</v>
      </c>
      <c r="AB229" s="1">
        <f t="shared" si="293"/>
        <v>1.0161928880556559E-3</v>
      </c>
      <c r="AC229" s="1">
        <f t="shared" si="352"/>
        <v>0</v>
      </c>
      <c r="AD229" s="64">
        <f t="shared" si="294"/>
        <v>0</v>
      </c>
      <c r="AE229" s="1">
        <f t="shared" si="351"/>
        <v>14.400783714237424</v>
      </c>
    </row>
    <row r="230" spans="1:31" ht="13.5" customHeight="1">
      <c r="K230" s="47"/>
      <c r="L230" s="47"/>
      <c r="M230" s="47"/>
      <c r="N230" s="47">
        <f>SUM(N220:N229)</f>
        <v>4200.3918571187114</v>
      </c>
      <c r="O230" s="2" t="s">
        <v>46</v>
      </c>
      <c r="P230" s="2"/>
      <c r="Q230" s="2"/>
      <c r="R230" s="49">
        <f>R210</f>
        <v>75</v>
      </c>
      <c r="S230" s="50" t="s">
        <v>45</v>
      </c>
      <c r="T230" s="2"/>
      <c r="U230" s="11">
        <f>U229</f>
        <v>64.786932920504199</v>
      </c>
      <c r="V230" s="47"/>
      <c r="W230" s="2"/>
      <c r="Y230" s="1">
        <f>N231</f>
        <v>14.400783714237424</v>
      </c>
      <c r="AE230" s="1">
        <f t="shared" si="351"/>
        <v>14.400783714237424</v>
      </c>
    </row>
    <row r="231" spans="1:31" ht="13.5" customHeight="1">
      <c r="K231" s="47"/>
      <c r="L231" s="2" t="s">
        <v>44</v>
      </c>
      <c r="M231" s="2"/>
      <c r="N231" s="47">
        <f>N230*2/1000+Y231</f>
        <v>14.400783714237424</v>
      </c>
      <c r="O231" s="2" t="s">
        <v>1</v>
      </c>
      <c r="P231" s="1">
        <f>SUM(P220:P229)</f>
        <v>77.649827826537745</v>
      </c>
      <c r="Q231" s="1" t="s">
        <v>43</v>
      </c>
      <c r="S231" s="47"/>
      <c r="U231" s="47"/>
      <c r="V231" s="47"/>
      <c r="W231" s="2"/>
      <c r="Y231" s="3">
        <f>Y211</f>
        <v>6</v>
      </c>
      <c r="Z231" s="3" t="s">
        <v>42</v>
      </c>
      <c r="AE231" s="1">
        <f>N231</f>
        <v>14.400783714237424</v>
      </c>
    </row>
    <row r="232" spans="1:31" ht="13.5" customHeight="1">
      <c r="L232" s="60" t="s">
        <v>41</v>
      </c>
      <c r="N232" s="3">
        <f>N212</f>
        <v>15</v>
      </c>
      <c r="O232" s="1" t="s">
        <v>1</v>
      </c>
    </row>
    <row r="235" spans="1:31" ht="13.5" customHeight="1" thickBot="1"/>
    <row r="236" spans="1:31" ht="13.5" customHeight="1">
      <c r="B236" s="14" t="s">
        <v>40</v>
      </c>
      <c r="C236" s="15"/>
      <c r="D236" s="15"/>
      <c r="E236" s="15"/>
      <c r="F236" s="15"/>
      <c r="G236" s="15"/>
      <c r="H236" s="15" t="s">
        <v>39</v>
      </c>
      <c r="I236" s="16"/>
      <c r="J236" s="14" t="s">
        <v>38</v>
      </c>
      <c r="K236" s="15"/>
      <c r="L236" s="15"/>
      <c r="M236" s="15"/>
      <c r="N236" s="15" t="s">
        <v>37</v>
      </c>
      <c r="O236" s="15"/>
      <c r="P236" s="15"/>
      <c r="Q236" s="15"/>
      <c r="R236" s="15"/>
      <c r="S236" s="16"/>
      <c r="T236" s="14" t="s">
        <v>36</v>
      </c>
      <c r="U236" s="15"/>
      <c r="V236" s="16"/>
      <c r="W236" s="14"/>
      <c r="X236" s="15"/>
      <c r="Y236" s="15"/>
      <c r="Z236" s="16"/>
    </row>
    <row r="237" spans="1:31" ht="13.5" customHeight="1">
      <c r="B237" s="17" t="s">
        <v>35</v>
      </c>
      <c r="C237" s="18" t="s">
        <v>22</v>
      </c>
      <c r="D237" s="18"/>
      <c r="E237" s="18" t="s">
        <v>34</v>
      </c>
      <c r="F237" s="18" t="s">
        <v>33</v>
      </c>
      <c r="G237" s="18" t="s">
        <v>7</v>
      </c>
      <c r="H237" s="18" t="s">
        <v>32</v>
      </c>
      <c r="I237" s="19" t="s">
        <v>22</v>
      </c>
      <c r="J237" s="17" t="s">
        <v>31</v>
      </c>
      <c r="K237" s="18"/>
      <c r="L237" s="18" t="s">
        <v>30</v>
      </c>
      <c r="M237" s="18"/>
      <c r="N237" s="18" t="s">
        <v>29</v>
      </c>
      <c r="O237" s="18"/>
      <c r="P237" s="18" t="s">
        <v>28</v>
      </c>
      <c r="Q237" s="20" t="s">
        <v>27</v>
      </c>
      <c r="R237" s="21" t="s">
        <v>26</v>
      </c>
      <c r="S237" s="22" t="s">
        <v>7</v>
      </c>
      <c r="T237" s="23" t="s">
        <v>25</v>
      </c>
      <c r="U237" s="24" t="s">
        <v>24</v>
      </c>
      <c r="V237" s="25" t="s">
        <v>7</v>
      </c>
      <c r="W237" s="26" t="s">
        <v>23</v>
      </c>
      <c r="X237" s="4" t="s">
        <v>22</v>
      </c>
      <c r="Y237" s="4" t="s">
        <v>21</v>
      </c>
      <c r="Z237" s="5" t="s">
        <v>20</v>
      </c>
    </row>
    <row r="238" spans="1:31" ht="13.5" customHeight="1">
      <c r="B238" s="54" t="s">
        <v>3</v>
      </c>
      <c r="C238" s="28" t="s">
        <v>17</v>
      </c>
      <c r="D238" s="20" t="s">
        <v>13</v>
      </c>
      <c r="E238" s="20" t="s">
        <v>19</v>
      </c>
      <c r="F238" s="28" t="s">
        <v>19</v>
      </c>
      <c r="G238" s="20" t="s">
        <v>3</v>
      </c>
      <c r="H238" s="20" t="s">
        <v>19</v>
      </c>
      <c r="I238" s="29" t="s">
        <v>12</v>
      </c>
      <c r="J238" s="55" t="s">
        <v>18</v>
      </c>
      <c r="K238" s="20" t="s">
        <v>17</v>
      </c>
      <c r="L238" s="56" t="s">
        <v>16</v>
      </c>
      <c r="M238" s="20" t="s">
        <v>15</v>
      </c>
      <c r="N238" s="20" t="s">
        <v>14</v>
      </c>
      <c r="O238" s="20" t="s">
        <v>13</v>
      </c>
      <c r="P238" s="20" t="s">
        <v>12</v>
      </c>
      <c r="Q238" s="20" t="s">
        <v>11</v>
      </c>
      <c r="R238" s="21" t="s">
        <v>11</v>
      </c>
      <c r="S238" s="22" t="s">
        <v>10</v>
      </c>
      <c r="T238" s="23" t="s">
        <v>9</v>
      </c>
      <c r="U238" s="24" t="s">
        <v>9</v>
      </c>
      <c r="V238" s="33" t="s">
        <v>8</v>
      </c>
      <c r="W238" s="34" t="s">
        <v>7</v>
      </c>
      <c r="X238" s="4" t="s">
        <v>6</v>
      </c>
      <c r="Y238" s="6" t="s">
        <v>5</v>
      </c>
      <c r="Z238" s="7" t="s">
        <v>5</v>
      </c>
    </row>
    <row r="239" spans="1:31" ht="13.5" customHeight="1" thickBot="1">
      <c r="B239" s="57"/>
      <c r="C239" s="3">
        <f>C219</f>
        <v>1.05</v>
      </c>
      <c r="D239" s="37"/>
      <c r="E239" s="38"/>
      <c r="F239" s="38"/>
      <c r="G239" s="37"/>
      <c r="H239" s="37"/>
      <c r="I239" s="39"/>
      <c r="J239" s="58" t="s">
        <v>4</v>
      </c>
      <c r="K239" s="44"/>
      <c r="L239" s="59"/>
      <c r="M239" s="37"/>
      <c r="N239" s="37"/>
      <c r="O239" s="37"/>
      <c r="P239" s="37"/>
      <c r="Q239" s="42"/>
      <c r="R239" s="42"/>
      <c r="S239" s="52" t="s">
        <v>3</v>
      </c>
      <c r="T239" s="43"/>
      <c r="U239" s="44"/>
      <c r="V239" s="39" t="s">
        <v>3</v>
      </c>
      <c r="W239" s="45" t="s">
        <v>3</v>
      </c>
      <c r="X239" s="8" t="s">
        <v>2</v>
      </c>
      <c r="Y239" s="9" t="s">
        <v>1</v>
      </c>
      <c r="Z239" s="13" t="s">
        <v>0</v>
      </c>
    </row>
    <row r="240" spans="1:31" ht="13.5" customHeight="1">
      <c r="A240" s="1">
        <v>1</v>
      </c>
      <c r="B240" s="3">
        <f t="shared" ref="B240:B249" si="353">B220</f>
        <v>1000</v>
      </c>
      <c r="C240" s="1">
        <f t="shared" ref="C240:C249" si="354">IF(B240&lt;1,0.000001,C220*(1+AB220))</f>
        <v>3.4341750528867891E-2</v>
      </c>
      <c r="D240" s="1">
        <f t="shared" si="323"/>
        <v>0.87230916537751113</v>
      </c>
      <c r="E240" s="1">
        <f t="shared" ref="E240:E249" si="355">R240</f>
        <v>72.859263481155182</v>
      </c>
      <c r="F240" s="1">
        <f t="shared" ref="F240:F249" si="356">F220</f>
        <v>20</v>
      </c>
      <c r="G240" s="1">
        <f t="shared" ref="G240:G249" si="357">(E240-F240)*C240*(1-D240)*4200</f>
        <v>973.53720347079616</v>
      </c>
      <c r="H240" s="1">
        <f t="shared" ref="H240:H249" si="358">(E240-F240)*D240+F240</f>
        <v>66.109620009716423</v>
      </c>
      <c r="I240" s="1">
        <f t="shared" ref="I240:I249" si="359">B240*0.001*6/C240</f>
        <v>174.71444837840642</v>
      </c>
      <c r="J240" s="3">
        <f t="shared" ref="J240:J249" si="360">J220</f>
        <v>10</v>
      </c>
      <c r="K240" s="47">
        <f t="shared" ref="K240:K249" si="361">K239+C240</f>
        <v>3.4341750528867891E-2</v>
      </c>
      <c r="L240" s="3">
        <f t="shared" ref="L240:L249" si="362">L220</f>
        <v>3</v>
      </c>
      <c r="M240" s="47">
        <f t="shared" ref="M240:M249" si="363">K240/(J240*J240*3.14/4000)</f>
        <v>0.43747452903016421</v>
      </c>
      <c r="N240" s="47">
        <f t="shared" ref="N240:N249" si="364">L240*26400/J240^1.27*M240^1.83*$N$69</f>
        <v>1171.0589776815898</v>
      </c>
      <c r="O240" s="1">
        <f t="shared" ref="O240:O249" si="365">EXP(-(J240+2)*3.14/1000*$O$66/(M240*J240*J240*3.14/4000*4200)*L240)</f>
        <v>0.99219343973922769</v>
      </c>
      <c r="P240" s="1">
        <f t="shared" ref="P240:P249" si="366">L240/M240</f>
        <v>6.8575420988524511</v>
      </c>
      <c r="Q240" s="1">
        <f t="shared" ref="Q240:Q249" si="367">R241</f>
        <v>73.275159222024143</v>
      </c>
      <c r="R240" s="1">
        <f t="shared" ref="R240:R249" si="368">(Q240-F240)*O240+F240</f>
        <v>72.859263481155182</v>
      </c>
      <c r="S240" s="47">
        <f t="shared" ref="S240:S249" si="369">K240*(1-O240)*4200*(Q240-F240)</f>
        <v>59.986868671551747</v>
      </c>
      <c r="T240" s="1">
        <f t="shared" ref="T240:T249" si="370">(U239*K239+H240*C240)/K240</f>
        <v>66.109620009716423</v>
      </c>
      <c r="U240" s="47">
        <f t="shared" ref="U240:U249" si="371">(T240-F240)*O240+F240</f>
        <v>65.749662482509251</v>
      </c>
      <c r="V240" s="47">
        <f t="shared" ref="V240:V249" si="372">K240*(1-O240)*4200*(T240-F240)</f>
        <v>51.918600721413725</v>
      </c>
      <c r="W240" s="2">
        <f t="shared" si="324"/>
        <v>973.54720347079615</v>
      </c>
      <c r="X240" s="1">
        <f t="shared" ref="X240:X249" si="373">C240*3600</f>
        <v>123.6303019039244</v>
      </c>
      <c r="Y240" s="1">
        <f t="shared" ref="Y240:Y249" si="374">Y241-2*N240/1000</f>
        <v>6.0000000000000027</v>
      </c>
      <c r="Z240" s="2">
        <f t="shared" ref="Z240:Z249" si="375">-1.1-1.8*LOG10(Y240/X240/X240)</f>
        <v>5.0309774965469582</v>
      </c>
      <c r="AA240" s="3">
        <f t="shared" ref="AA240:AA249" si="376">AA220</f>
        <v>1000</v>
      </c>
      <c r="AB240" s="1">
        <f t="shared" ref="AB240" si="377">((AA240/W240)-1)*AB$23+AC240+AD240</f>
        <v>2.7171560284798613E-2</v>
      </c>
      <c r="AC240" s="1">
        <f>((N252/N251)-1)*AB$24</f>
        <v>0</v>
      </c>
      <c r="AD240" s="64">
        <f t="shared" ref="AD240" si="378">(AC$21-(X240/1000/SQRT(Y240/104))*1000/B240)*AB$21</f>
        <v>0</v>
      </c>
      <c r="AE240" s="1">
        <f t="shared" ref="AE240:AE250" si="379">AE241</f>
        <v>14.771698572239012</v>
      </c>
    </row>
    <row r="241" spans="1:31" ht="13.5" customHeight="1">
      <c r="A241" s="1">
        <v>2</v>
      </c>
      <c r="B241" s="3">
        <f t="shared" si="353"/>
        <v>1000</v>
      </c>
      <c r="C241" s="1">
        <f t="shared" si="354"/>
        <v>3.2073482299426574E-2</v>
      </c>
      <c r="D241" s="1">
        <f t="shared" si="323"/>
        <v>0.86355362640295752</v>
      </c>
      <c r="E241" s="1">
        <f t="shared" si="355"/>
        <v>73.275159222024143</v>
      </c>
      <c r="F241" s="1">
        <f t="shared" si="356"/>
        <v>20</v>
      </c>
      <c r="G241" s="1">
        <f t="shared" si="357"/>
        <v>979.22424858400564</v>
      </c>
      <c r="H241" s="1">
        <f t="shared" si="358"/>
        <v>66.005956943373917</v>
      </c>
      <c r="I241" s="1">
        <f t="shared" si="359"/>
        <v>187.07042609175215</v>
      </c>
      <c r="J241" s="3">
        <f t="shared" si="360"/>
        <v>14.142135623730951</v>
      </c>
      <c r="K241" s="47">
        <f t="shared" si="361"/>
        <v>6.6415232828294465E-2</v>
      </c>
      <c r="L241" s="3">
        <f t="shared" si="362"/>
        <v>3</v>
      </c>
      <c r="M241" s="47">
        <f t="shared" si="363"/>
        <v>0.42302696068977358</v>
      </c>
      <c r="N241" s="47">
        <f t="shared" si="364"/>
        <v>709.14439310193347</v>
      </c>
      <c r="O241" s="1">
        <f t="shared" si="365"/>
        <v>0.99456359601835564</v>
      </c>
      <c r="P241" s="1">
        <f t="shared" si="366"/>
        <v>7.0917465759352565</v>
      </c>
      <c r="Q241" s="1">
        <f t="shared" si="367"/>
        <v>73.566367636324486</v>
      </c>
      <c r="R241" s="1">
        <f t="shared" si="368"/>
        <v>73.275159222024143</v>
      </c>
      <c r="S241" s="47">
        <f t="shared" si="369"/>
        <v>81.23083347672511</v>
      </c>
      <c r="T241" s="1">
        <f t="shared" si="370"/>
        <v>65.873433122224341</v>
      </c>
      <c r="U241" s="47">
        <f t="shared" si="371"/>
        <v>65.624046607746976</v>
      </c>
      <c r="V241" s="47">
        <f t="shared" si="372"/>
        <v>69.564866377651924</v>
      </c>
      <c r="W241" s="2">
        <f t="shared" si="324"/>
        <v>979.23424858400563</v>
      </c>
      <c r="X241" s="1">
        <f t="shared" si="373"/>
        <v>115.46453627793566</v>
      </c>
      <c r="Y241" s="1">
        <f t="shared" si="374"/>
        <v>8.3421179553631823</v>
      </c>
      <c r="Z241" s="2">
        <f t="shared" si="375"/>
        <v>4.6665176291034616</v>
      </c>
      <c r="AA241" s="3">
        <f t="shared" si="376"/>
        <v>1000</v>
      </c>
      <c r="AB241" s="1">
        <f t="shared" si="293"/>
        <v>2.120611227193292E-2</v>
      </c>
      <c r="AC241" s="1">
        <f t="shared" ref="AC241:AC249" si="380">AC240</f>
        <v>0</v>
      </c>
      <c r="AD241" s="64">
        <f t="shared" si="294"/>
        <v>0</v>
      </c>
      <c r="AE241" s="1">
        <f t="shared" si="379"/>
        <v>14.771698572239012</v>
      </c>
    </row>
    <row r="242" spans="1:31" ht="13.5" customHeight="1">
      <c r="A242" s="1">
        <v>3</v>
      </c>
      <c r="B242" s="3">
        <f t="shared" si="353"/>
        <v>1000</v>
      </c>
      <c r="C242" s="1">
        <f t="shared" si="354"/>
        <v>3.0620715944281434E-2</v>
      </c>
      <c r="D242" s="1">
        <f t="shared" si="323"/>
        <v>0.85729589166506193</v>
      </c>
      <c r="E242" s="1">
        <f t="shared" si="355"/>
        <v>73.566367636324486</v>
      </c>
      <c r="F242" s="1">
        <f t="shared" si="356"/>
        <v>20</v>
      </c>
      <c r="G242" s="1">
        <f t="shared" si="357"/>
        <v>983.09006014847455</v>
      </c>
      <c r="H242" s="1">
        <f t="shared" si="358"/>
        <v>65.922226906041317</v>
      </c>
      <c r="I242" s="1">
        <f t="shared" si="359"/>
        <v>195.94577771851638</v>
      </c>
      <c r="J242" s="3">
        <f t="shared" si="360"/>
        <v>17.320508075688775</v>
      </c>
      <c r="K242" s="47">
        <f t="shared" si="361"/>
        <v>9.7035948772575903E-2</v>
      </c>
      <c r="L242" s="3">
        <f t="shared" si="362"/>
        <v>3</v>
      </c>
      <c r="M242" s="47">
        <f t="shared" si="363"/>
        <v>0.41204224531879352</v>
      </c>
      <c r="N242" s="47">
        <f t="shared" si="364"/>
        <v>522.40411754315505</v>
      </c>
      <c r="O242" s="1">
        <f t="shared" si="365"/>
        <v>0.99554427735189466</v>
      </c>
      <c r="P242" s="1">
        <f t="shared" si="366"/>
        <v>7.280806844645082</v>
      </c>
      <c r="Q242" s="1">
        <f t="shared" si="367"/>
        <v>73.806112751517944</v>
      </c>
      <c r="R242" s="1">
        <f t="shared" si="368"/>
        <v>73.566367636324486</v>
      </c>
      <c r="S242" s="47">
        <f t="shared" si="369"/>
        <v>97.708357808824331</v>
      </c>
      <c r="T242" s="1">
        <f t="shared" si="370"/>
        <v>65.7181405423119</v>
      </c>
      <c r="U242" s="47">
        <f t="shared" si="371"/>
        <v>65.514433188068267</v>
      </c>
      <c r="V242" s="47">
        <f t="shared" si="372"/>
        <v>83.02113284212875</v>
      </c>
      <c r="W242" s="2">
        <f t="shared" si="324"/>
        <v>983.10006014847454</v>
      </c>
      <c r="X242" s="1">
        <f t="shared" si="373"/>
        <v>110.23457739941317</v>
      </c>
      <c r="Y242" s="1">
        <f t="shared" si="374"/>
        <v>9.7604067415670492</v>
      </c>
      <c r="Z242" s="2">
        <f t="shared" si="375"/>
        <v>4.4713019802160332</v>
      </c>
      <c r="AA242" s="3">
        <f t="shared" si="376"/>
        <v>1000</v>
      </c>
      <c r="AB242" s="1">
        <f t="shared" si="293"/>
        <v>1.7190457550143146E-2</v>
      </c>
      <c r="AC242" s="1">
        <f t="shared" si="380"/>
        <v>0</v>
      </c>
      <c r="AD242" s="64">
        <f t="shared" si="294"/>
        <v>0</v>
      </c>
      <c r="AE242" s="1">
        <f t="shared" si="379"/>
        <v>14.771698572239012</v>
      </c>
    </row>
    <row r="243" spans="1:31" ht="13.5" customHeight="1">
      <c r="A243" s="1">
        <v>4</v>
      </c>
      <c r="B243" s="3">
        <f t="shared" si="353"/>
        <v>1000</v>
      </c>
      <c r="C243" s="1">
        <f t="shared" si="354"/>
        <v>2.9501152642049833E-2</v>
      </c>
      <c r="D243" s="1">
        <f t="shared" si="323"/>
        <v>0.85207328531820603</v>
      </c>
      <c r="E243" s="1">
        <f t="shared" si="355"/>
        <v>73.806112751517944</v>
      </c>
      <c r="F243" s="1">
        <f t="shared" si="356"/>
        <v>20</v>
      </c>
      <c r="G243" s="1">
        <f t="shared" si="357"/>
        <v>986.20342054115281</v>
      </c>
      <c r="H243" s="1">
        <f t="shared" si="358"/>
        <v>65.846751262387713</v>
      </c>
      <c r="I243" s="1">
        <f t="shared" si="359"/>
        <v>203.38188384706791</v>
      </c>
      <c r="J243" s="3">
        <f t="shared" si="360"/>
        <v>20</v>
      </c>
      <c r="K243" s="47">
        <f t="shared" si="361"/>
        <v>0.12653710141462574</v>
      </c>
      <c r="L243" s="3">
        <f t="shared" si="362"/>
        <v>3</v>
      </c>
      <c r="M243" s="47">
        <f t="shared" si="363"/>
        <v>0.4029843994096361</v>
      </c>
      <c r="N243" s="47">
        <f t="shared" si="364"/>
        <v>417.83476142172532</v>
      </c>
      <c r="O243" s="1">
        <f t="shared" si="365"/>
        <v>0.99610811565602864</v>
      </c>
      <c r="P243" s="1">
        <f t="shared" si="366"/>
        <v>7.4444569179227251</v>
      </c>
      <c r="Q243" s="1">
        <f t="shared" si="367"/>
        <v>74.016338092057083</v>
      </c>
      <c r="R243" s="1">
        <f t="shared" si="368"/>
        <v>73.806112751517944</v>
      </c>
      <c r="S243" s="47">
        <f t="shared" si="369"/>
        <v>111.72548199004713</v>
      </c>
      <c r="T243" s="1">
        <f t="shared" si="370"/>
        <v>65.59191059292904</v>
      </c>
      <c r="U243" s="47">
        <f t="shared" si="371"/>
        <v>65.41447214988068</v>
      </c>
      <c r="V243" s="47">
        <f t="shared" si="372"/>
        <v>94.300694304028639</v>
      </c>
      <c r="W243" s="2">
        <f t="shared" si="324"/>
        <v>986.2134205411528</v>
      </c>
      <c r="X243" s="1">
        <f t="shared" si="373"/>
        <v>106.2041495113794</v>
      </c>
      <c r="Y243" s="1">
        <f t="shared" si="374"/>
        <v>10.805214976653359</v>
      </c>
      <c r="Z243" s="2">
        <f t="shared" si="375"/>
        <v>4.3335692061928359</v>
      </c>
      <c r="AA243" s="3">
        <f t="shared" si="376"/>
        <v>1000</v>
      </c>
      <c r="AB243" s="1">
        <f t="shared" si="293"/>
        <v>1.3979306275595293E-2</v>
      </c>
      <c r="AC243" s="1">
        <f t="shared" si="380"/>
        <v>0</v>
      </c>
      <c r="AD243" s="64">
        <f t="shared" si="294"/>
        <v>0</v>
      </c>
      <c r="AE243" s="1">
        <f t="shared" si="379"/>
        <v>14.771698572239012</v>
      </c>
    </row>
    <row r="244" spans="1:31" ht="13.5" customHeight="1">
      <c r="A244" s="1">
        <v>5</v>
      </c>
      <c r="B244" s="3">
        <f t="shared" si="353"/>
        <v>1000</v>
      </c>
      <c r="C244" s="1">
        <f t="shared" si="354"/>
        <v>2.8572055695936766E-2</v>
      </c>
      <c r="D244" s="1">
        <f t="shared" si="323"/>
        <v>0.847444158315802</v>
      </c>
      <c r="E244" s="1">
        <f t="shared" si="355"/>
        <v>74.016338092057083</v>
      </c>
      <c r="F244" s="1">
        <f t="shared" si="356"/>
        <v>20</v>
      </c>
      <c r="G244" s="1">
        <f t="shared" si="357"/>
        <v>988.88265554264478</v>
      </c>
      <c r="H244" s="1">
        <f t="shared" si="358"/>
        <v>65.775830169725111</v>
      </c>
      <c r="I244" s="1">
        <f t="shared" si="359"/>
        <v>209.99539073603515</v>
      </c>
      <c r="J244" s="3">
        <f t="shared" si="360"/>
        <v>22.360679774997898</v>
      </c>
      <c r="K244" s="47">
        <f t="shared" si="361"/>
        <v>0.1551091571105625</v>
      </c>
      <c r="L244" s="3">
        <f t="shared" si="362"/>
        <v>3</v>
      </c>
      <c r="M244" s="47">
        <f t="shared" si="363"/>
        <v>0.39518256588678335</v>
      </c>
      <c r="N244" s="47">
        <f t="shared" si="364"/>
        <v>349.88810103054948</v>
      </c>
      <c r="O244" s="1">
        <f t="shared" si="365"/>
        <v>0.99648367590698095</v>
      </c>
      <c r="P244" s="1">
        <f t="shared" si="366"/>
        <v>7.5914280106665331</v>
      </c>
      <c r="Q244" s="1">
        <f t="shared" si="367"/>
        <v>74.206947286810703</v>
      </c>
      <c r="R244" s="1">
        <f t="shared" si="368"/>
        <v>74.016338092057083</v>
      </c>
      <c r="S244" s="47">
        <f t="shared" si="369"/>
        <v>124.17397245018367</v>
      </c>
      <c r="T244" s="1">
        <f t="shared" si="370"/>
        <v>65.481036507920535</v>
      </c>
      <c r="U244" s="47">
        <f t="shared" si="371"/>
        <v>65.321110443472264</v>
      </c>
      <c r="V244" s="47">
        <f t="shared" si="372"/>
        <v>104.18518763764533</v>
      </c>
      <c r="W244" s="2">
        <f t="shared" si="324"/>
        <v>988.89265554264477</v>
      </c>
      <c r="X244" s="1">
        <f t="shared" si="373"/>
        <v>102.85940050537235</v>
      </c>
      <c r="Y244" s="1">
        <f t="shared" si="374"/>
        <v>11.64088449949681</v>
      </c>
      <c r="Z244" s="2">
        <f t="shared" si="375"/>
        <v>4.2253035953132763</v>
      </c>
      <c r="AA244" s="3">
        <f t="shared" si="376"/>
        <v>1000</v>
      </c>
      <c r="AB244" s="1">
        <f t="shared" si="293"/>
        <v>1.1232103297662999E-2</v>
      </c>
      <c r="AC244" s="1">
        <f t="shared" si="380"/>
        <v>0</v>
      </c>
      <c r="AD244" s="64">
        <f t="shared" si="294"/>
        <v>0</v>
      </c>
      <c r="AE244" s="1">
        <f t="shared" si="379"/>
        <v>14.771698572239012</v>
      </c>
    </row>
    <row r="245" spans="1:31" ht="13.5" customHeight="1">
      <c r="A245" s="1">
        <v>6</v>
      </c>
      <c r="B245" s="3">
        <f t="shared" si="353"/>
        <v>1000</v>
      </c>
      <c r="C245" s="1">
        <f t="shared" si="354"/>
        <v>2.7769378095082124E-2</v>
      </c>
      <c r="D245" s="1">
        <f t="shared" si="323"/>
        <v>0.8432086547826052</v>
      </c>
      <c r="E245" s="1">
        <f t="shared" si="355"/>
        <v>74.206947286810703</v>
      </c>
      <c r="F245" s="1">
        <f t="shared" si="356"/>
        <v>20</v>
      </c>
      <c r="G245" s="1">
        <f t="shared" si="357"/>
        <v>991.27118185960808</v>
      </c>
      <c r="H245" s="1">
        <f t="shared" si="358"/>
        <v>65.707767101583244</v>
      </c>
      <c r="I245" s="1">
        <f t="shared" si="359"/>
        <v>216.06533568940756</v>
      </c>
      <c r="J245" s="3">
        <f t="shared" si="360"/>
        <v>24.494897427831781</v>
      </c>
      <c r="K245" s="47">
        <f t="shared" si="361"/>
        <v>0.18287853520564462</v>
      </c>
      <c r="L245" s="3">
        <f t="shared" si="362"/>
        <v>3</v>
      </c>
      <c r="M245" s="47">
        <f t="shared" si="363"/>
        <v>0.38827714481028586</v>
      </c>
      <c r="N245" s="47">
        <f t="shared" si="364"/>
        <v>301.74403581874992</v>
      </c>
      <c r="O245" s="1">
        <f t="shared" si="365"/>
        <v>0.99675588891768208</v>
      </c>
      <c r="P245" s="1">
        <f t="shared" si="366"/>
        <v>7.7264398383938229</v>
      </c>
      <c r="Q245" s="1">
        <f t="shared" si="367"/>
        <v>74.383372989820813</v>
      </c>
      <c r="R245" s="1">
        <f t="shared" si="368"/>
        <v>74.206947286810703</v>
      </c>
      <c r="S245" s="47">
        <f t="shared" si="369"/>
        <v>135.51079138428065</v>
      </c>
      <c r="T245" s="1">
        <f t="shared" si="370"/>
        <v>65.379822718917765</v>
      </c>
      <c r="U245" s="47">
        <f t="shared" si="371"/>
        <v>65.232605533121699</v>
      </c>
      <c r="V245" s="47">
        <f t="shared" si="372"/>
        <v>113.0760258410218</v>
      </c>
      <c r="W245" s="2">
        <f t="shared" si="324"/>
        <v>991.28118185960807</v>
      </c>
      <c r="X245" s="1">
        <f t="shared" si="373"/>
        <v>99.969761142295638</v>
      </c>
      <c r="Y245" s="1">
        <f t="shared" si="374"/>
        <v>12.340660701557908</v>
      </c>
      <c r="Z245" s="2">
        <f t="shared" si="375"/>
        <v>4.1351180147196605</v>
      </c>
      <c r="AA245" s="3">
        <f t="shared" si="376"/>
        <v>1000</v>
      </c>
      <c r="AB245" s="1">
        <f t="shared" si="293"/>
        <v>8.7955045449725766E-3</v>
      </c>
      <c r="AC245" s="1">
        <f t="shared" si="380"/>
        <v>0</v>
      </c>
      <c r="AD245" s="64">
        <f t="shared" si="294"/>
        <v>0</v>
      </c>
      <c r="AE245" s="1">
        <f t="shared" si="379"/>
        <v>14.771698572239012</v>
      </c>
    </row>
    <row r="246" spans="1:31" ht="13.5" customHeight="1">
      <c r="A246" s="1">
        <v>7</v>
      </c>
      <c r="B246" s="3">
        <f t="shared" si="353"/>
        <v>1000</v>
      </c>
      <c r="C246" s="1">
        <f t="shared" si="354"/>
        <v>2.7058117065067663E-2</v>
      </c>
      <c r="D246" s="1">
        <f t="shared" si="323"/>
        <v>0.83925703206055779</v>
      </c>
      <c r="E246" s="1">
        <f t="shared" si="355"/>
        <v>74.383372989820813</v>
      </c>
      <c r="F246" s="1">
        <f t="shared" si="356"/>
        <v>20</v>
      </c>
      <c r="G246" s="1">
        <f t="shared" si="357"/>
        <v>993.44764526976871</v>
      </c>
      <c r="H246" s="1">
        <f t="shared" si="358"/>
        <v>65.641628208879325</v>
      </c>
      <c r="I246" s="1">
        <f t="shared" si="359"/>
        <v>221.74491985423731</v>
      </c>
      <c r="J246" s="3">
        <f t="shared" si="360"/>
        <v>26.457513110645905</v>
      </c>
      <c r="K246" s="47">
        <f t="shared" si="361"/>
        <v>0.20993665227071229</v>
      </c>
      <c r="L246" s="3">
        <f t="shared" si="362"/>
        <v>3</v>
      </c>
      <c r="M246" s="47">
        <f t="shared" si="363"/>
        <v>0.38205032260366206</v>
      </c>
      <c r="N246" s="47">
        <f t="shared" si="364"/>
        <v>265.63089382562526</v>
      </c>
      <c r="O246" s="1">
        <f t="shared" si="365"/>
        <v>0.99696435995417954</v>
      </c>
      <c r="P246" s="1">
        <f t="shared" si="366"/>
        <v>7.8523687129880839</v>
      </c>
      <c r="Q246" s="1">
        <f t="shared" si="367"/>
        <v>74.548964009425845</v>
      </c>
      <c r="R246" s="1">
        <f t="shared" si="368"/>
        <v>74.383372989820813</v>
      </c>
      <c r="S246" s="47">
        <f t="shared" si="369"/>
        <v>146.00722206829241</v>
      </c>
      <c r="T246" s="1">
        <f t="shared" si="370"/>
        <v>65.285323261651754</v>
      </c>
      <c r="U246" s="47">
        <f t="shared" si="371"/>
        <v>65.147853320870752</v>
      </c>
      <c r="V246" s="47">
        <f t="shared" si="372"/>
        <v>121.21191245274375</v>
      </c>
      <c r="W246" s="2">
        <f t="shared" si="324"/>
        <v>993.4576452697687</v>
      </c>
      <c r="X246" s="1">
        <f t="shared" si="373"/>
        <v>97.409221434243591</v>
      </c>
      <c r="Y246" s="1">
        <f t="shared" si="374"/>
        <v>12.944148773195408</v>
      </c>
      <c r="Z246" s="2">
        <f t="shared" si="375"/>
        <v>4.0572279672511407</v>
      </c>
      <c r="AA246" s="3">
        <f t="shared" si="376"/>
        <v>1000</v>
      </c>
      <c r="AB246" s="1">
        <f t="shared" si="293"/>
        <v>6.5854390082777936E-3</v>
      </c>
      <c r="AC246" s="1">
        <f t="shared" si="380"/>
        <v>0</v>
      </c>
      <c r="AD246" s="64">
        <f t="shared" si="294"/>
        <v>0</v>
      </c>
      <c r="AE246" s="1">
        <f t="shared" si="379"/>
        <v>14.771698572239012</v>
      </c>
    </row>
    <row r="247" spans="1:31" ht="13.5" customHeight="1">
      <c r="A247" s="1">
        <v>8</v>
      </c>
      <c r="B247" s="3">
        <f t="shared" si="353"/>
        <v>1000</v>
      </c>
      <c r="C247" s="1">
        <f t="shared" si="354"/>
        <v>2.6416754231826396E-2</v>
      </c>
      <c r="D247" s="1">
        <f t="shared" si="323"/>
        <v>0.83552162877586433</v>
      </c>
      <c r="E247" s="1">
        <f t="shared" si="355"/>
        <v>74.548964009425845</v>
      </c>
      <c r="F247" s="1">
        <f t="shared" si="356"/>
        <v>20</v>
      </c>
      <c r="G247" s="1">
        <f t="shared" si="357"/>
        <v>995.46054097165779</v>
      </c>
      <c r="H247" s="1">
        <f t="shared" si="358"/>
        <v>65.576839257191494</v>
      </c>
      <c r="I247" s="1">
        <f t="shared" si="359"/>
        <v>227.12858466053774</v>
      </c>
      <c r="J247" s="3">
        <f t="shared" si="360"/>
        <v>28.284271247461902</v>
      </c>
      <c r="K247" s="47">
        <f t="shared" si="361"/>
        <v>0.23635340650253869</v>
      </c>
      <c r="L247" s="3">
        <f t="shared" si="362"/>
        <v>3</v>
      </c>
      <c r="M247" s="47">
        <f t="shared" si="363"/>
        <v>0.37635892755181316</v>
      </c>
      <c r="N247" s="47">
        <f t="shared" si="364"/>
        <v>237.4242745613675</v>
      </c>
      <c r="O247" s="1">
        <f t="shared" si="365"/>
        <v>0.99713032321143935</v>
      </c>
      <c r="P247" s="1">
        <f t="shared" si="366"/>
        <v>7.971114222040053</v>
      </c>
      <c r="Q247" s="1">
        <f t="shared" si="367"/>
        <v>74.705952411256533</v>
      </c>
      <c r="R247" s="1">
        <f t="shared" si="368"/>
        <v>74.548964009425845</v>
      </c>
      <c r="S247" s="47">
        <f t="shared" si="369"/>
        <v>155.8399229271028</v>
      </c>
      <c r="T247" s="1">
        <f t="shared" si="370"/>
        <v>65.195800233150919</v>
      </c>
      <c r="U247" s="47">
        <f t="shared" si="371"/>
        <v>65.066102894281414</v>
      </c>
      <c r="V247" s="47">
        <f t="shared" si="372"/>
        <v>128.74851299570304</v>
      </c>
      <c r="W247" s="2">
        <f t="shared" si="324"/>
        <v>995.47054097165778</v>
      </c>
      <c r="X247" s="1">
        <f t="shared" si="373"/>
        <v>95.100315234575021</v>
      </c>
      <c r="Y247" s="1">
        <f t="shared" si="374"/>
        <v>13.475410560846658</v>
      </c>
      <c r="Z247" s="2">
        <f t="shared" si="375"/>
        <v>3.988279432877579</v>
      </c>
      <c r="AA247" s="3">
        <f t="shared" si="376"/>
        <v>1000</v>
      </c>
      <c r="AB247" s="1">
        <f t="shared" si="293"/>
        <v>4.5500683766304117E-3</v>
      </c>
      <c r="AC247" s="1">
        <f t="shared" si="380"/>
        <v>0</v>
      </c>
      <c r="AD247" s="64">
        <f t="shared" si="294"/>
        <v>0</v>
      </c>
      <c r="AE247" s="1">
        <f t="shared" si="379"/>
        <v>14.771698572239012</v>
      </c>
    </row>
    <row r="248" spans="1:31" ht="13.5" customHeight="1">
      <c r="A248" s="1">
        <v>9</v>
      </c>
      <c r="B248" s="3">
        <f t="shared" si="353"/>
        <v>1000</v>
      </c>
      <c r="C248" s="1">
        <f t="shared" si="354"/>
        <v>2.5830977014277407E-2</v>
      </c>
      <c r="D248" s="1">
        <f t="shared" si="323"/>
        <v>0.831957360241246</v>
      </c>
      <c r="E248" s="1">
        <f t="shared" si="355"/>
        <v>74.705952411256533</v>
      </c>
      <c r="F248" s="1">
        <f t="shared" si="356"/>
        <v>20</v>
      </c>
      <c r="G248" s="1">
        <f t="shared" si="357"/>
        <v>997.34221470087346</v>
      </c>
      <c r="H248" s="1">
        <f t="shared" si="358"/>
        <v>65.513019757552215</v>
      </c>
      <c r="I248" s="1">
        <f t="shared" si="359"/>
        <v>232.27925125262024</v>
      </c>
      <c r="J248" s="3">
        <f t="shared" si="360"/>
        <v>30</v>
      </c>
      <c r="K248" s="47">
        <f t="shared" si="361"/>
        <v>0.26218438351681611</v>
      </c>
      <c r="L248" s="3">
        <f t="shared" si="362"/>
        <v>3</v>
      </c>
      <c r="M248" s="47">
        <f t="shared" si="363"/>
        <v>0.37110316138261301</v>
      </c>
      <c r="N248" s="47">
        <f t="shared" si="364"/>
        <v>214.71699378223124</v>
      </c>
      <c r="O248" s="1">
        <f t="shared" si="365"/>
        <v>0.99726630235714231</v>
      </c>
      <c r="P248" s="1">
        <f t="shared" si="366"/>
        <v>8.0840055062396896</v>
      </c>
      <c r="Q248" s="1">
        <f t="shared" si="367"/>
        <v>74.85591188828235</v>
      </c>
      <c r="R248" s="1">
        <f t="shared" si="368"/>
        <v>74.705952411256533</v>
      </c>
      <c r="S248" s="47">
        <f t="shared" si="369"/>
        <v>165.13153875336411</v>
      </c>
      <c r="T248" s="1">
        <f t="shared" si="370"/>
        <v>65.110134117909581</v>
      </c>
      <c r="U248" s="47">
        <f t="shared" si="371"/>
        <v>64.986816650602464</v>
      </c>
      <c r="V248" s="47">
        <f t="shared" si="372"/>
        <v>135.79403939964811</v>
      </c>
      <c r="W248" s="2">
        <f t="shared" si="324"/>
        <v>997.35221470087345</v>
      </c>
      <c r="X248" s="1">
        <f t="shared" si="373"/>
        <v>92.991517251398662</v>
      </c>
      <c r="Y248" s="1">
        <f t="shared" si="374"/>
        <v>13.950259109969393</v>
      </c>
      <c r="Z248" s="2">
        <f t="shared" si="375"/>
        <v>3.9261479078498005</v>
      </c>
      <c r="AA248" s="3">
        <f t="shared" si="376"/>
        <v>1000</v>
      </c>
      <c r="AB248" s="1">
        <f t="shared" ref="AB248:AB309" si="381">((AA248/W248)-1)*AB$23+AC248+AD248</f>
        <v>2.654814678404005E-3</v>
      </c>
      <c r="AC248" s="1">
        <f t="shared" si="380"/>
        <v>0</v>
      </c>
      <c r="AD248" s="64">
        <f t="shared" ref="AD248:AD309" si="382">(AC$21-(X248/1000/SQRT(Y248/104))*1000/B248)*AB$21</f>
        <v>0</v>
      </c>
      <c r="AE248" s="1">
        <f t="shared" si="379"/>
        <v>14.771698572239012</v>
      </c>
    </row>
    <row r="249" spans="1:31" ht="13.5" customHeight="1">
      <c r="A249" s="1">
        <v>10</v>
      </c>
      <c r="B249" s="3">
        <f t="shared" si="353"/>
        <v>1000</v>
      </c>
      <c r="C249" s="1">
        <f t="shared" si="354"/>
        <v>2.5290711509516103E-2</v>
      </c>
      <c r="D249" s="1">
        <f t="shared" si="323"/>
        <v>0.82853246037034278</v>
      </c>
      <c r="E249" s="1">
        <f t="shared" si="355"/>
        <v>74.85591188828235</v>
      </c>
      <c r="F249" s="1">
        <f t="shared" si="356"/>
        <v>20</v>
      </c>
      <c r="G249" s="1">
        <f t="shared" si="357"/>
        <v>999.11549218417656</v>
      </c>
      <c r="H249" s="1">
        <f t="shared" si="358"/>
        <v>65.449903642657318</v>
      </c>
      <c r="I249" s="1">
        <f t="shared" si="359"/>
        <v>237.24124952919524</v>
      </c>
      <c r="J249" s="3">
        <f t="shared" si="360"/>
        <v>31.622776601683793</v>
      </c>
      <c r="K249" s="47">
        <f t="shared" si="361"/>
        <v>0.28747509502633223</v>
      </c>
      <c r="L249" s="3">
        <f t="shared" si="362"/>
        <v>3</v>
      </c>
      <c r="M249" s="47">
        <f t="shared" si="363"/>
        <v>0.36621031213545507</v>
      </c>
      <c r="N249" s="47">
        <f t="shared" si="364"/>
        <v>196.00273735257917</v>
      </c>
      <c r="O249" s="1">
        <f t="shared" si="365"/>
        <v>0.99738021615058803</v>
      </c>
      <c r="P249" s="1">
        <f t="shared" si="366"/>
        <v>8.1920139891919543</v>
      </c>
      <c r="Q249" s="1">
        <f t="shared" si="367"/>
        <v>75</v>
      </c>
      <c r="R249" s="1">
        <f t="shared" si="368"/>
        <v>74.85591188828235</v>
      </c>
      <c r="S249" s="47">
        <f t="shared" si="369"/>
        <v>173.97132315443426</v>
      </c>
      <c r="T249" s="1">
        <f t="shared" si="370"/>
        <v>65.027556873747002</v>
      </c>
      <c r="U249" s="47">
        <f t="shared" si="371"/>
        <v>64.909594407470678</v>
      </c>
      <c r="V249" s="47">
        <f t="shared" si="372"/>
        <v>142.42733904976924</v>
      </c>
      <c r="W249" s="2">
        <f t="shared" si="324"/>
        <v>999.12549218417655</v>
      </c>
      <c r="X249" s="1">
        <f t="shared" si="373"/>
        <v>91.046561434257967</v>
      </c>
      <c r="Y249" s="1">
        <f t="shared" si="374"/>
        <v>14.379693097533854</v>
      </c>
      <c r="Z249" s="2">
        <f t="shared" si="375"/>
        <v>3.8693994634330884</v>
      </c>
      <c r="AA249" s="3">
        <f t="shared" si="376"/>
        <v>1000</v>
      </c>
      <c r="AB249" s="1">
        <f t="shared" si="381"/>
        <v>8.7527324912084481E-4</v>
      </c>
      <c r="AC249" s="1">
        <f t="shared" si="380"/>
        <v>0</v>
      </c>
      <c r="AD249" s="64">
        <f t="shared" si="382"/>
        <v>0</v>
      </c>
      <c r="AE249" s="1">
        <f t="shared" si="379"/>
        <v>14.771698572239012</v>
      </c>
    </row>
    <row r="250" spans="1:31" ht="13.5" customHeight="1">
      <c r="K250" s="47"/>
      <c r="L250" s="47"/>
      <c r="M250" s="47"/>
      <c r="N250" s="47">
        <f>SUM(N240:N249)</f>
        <v>4385.8492861195064</v>
      </c>
      <c r="O250" s="2" t="s">
        <v>46</v>
      </c>
      <c r="P250" s="2"/>
      <c r="Q250" s="2"/>
      <c r="R250" s="49">
        <f>R230</f>
        <v>75</v>
      </c>
      <c r="S250" s="50" t="s">
        <v>45</v>
      </c>
      <c r="T250" s="2"/>
      <c r="U250" s="11">
        <f>U249</f>
        <v>64.909594407470678</v>
      </c>
      <c r="V250" s="47"/>
      <c r="W250" s="2"/>
      <c r="Y250" s="1">
        <f>N251</f>
        <v>14.771698572239012</v>
      </c>
      <c r="AE250" s="1">
        <f t="shared" si="379"/>
        <v>14.771698572239012</v>
      </c>
    </row>
    <row r="251" spans="1:31" ht="13.5" customHeight="1">
      <c r="K251" s="47"/>
      <c r="L251" s="2" t="s">
        <v>44</v>
      </c>
      <c r="M251" s="2"/>
      <c r="N251" s="47">
        <f>N250*2/1000+Y251</f>
        <v>14.771698572239012</v>
      </c>
      <c r="O251" s="2" t="s">
        <v>1</v>
      </c>
      <c r="P251" s="1">
        <f>SUM(P240:P249)</f>
        <v>76.091922716875644</v>
      </c>
      <c r="Q251" s="1" t="s">
        <v>43</v>
      </c>
      <c r="S251" s="47"/>
      <c r="U251" s="47"/>
      <c r="V251" s="47"/>
      <c r="W251" s="2"/>
      <c r="Y251" s="3">
        <f>Y231</f>
        <v>6</v>
      </c>
      <c r="Z251" s="3" t="s">
        <v>42</v>
      </c>
      <c r="AE251" s="1">
        <f>N251</f>
        <v>14.771698572239012</v>
      </c>
    </row>
    <row r="252" spans="1:31" ht="13.5" customHeight="1">
      <c r="L252" s="60" t="s">
        <v>41</v>
      </c>
      <c r="N252" s="3">
        <f>N232</f>
        <v>15</v>
      </c>
      <c r="O252" s="1" t="s">
        <v>1</v>
      </c>
    </row>
    <row r="255" spans="1:31" ht="13.5" customHeight="1" thickBot="1"/>
    <row r="256" spans="1:31" ht="13.5" customHeight="1">
      <c r="B256" s="14" t="s">
        <v>40</v>
      </c>
      <c r="C256" s="15"/>
      <c r="D256" s="15"/>
      <c r="E256" s="15"/>
      <c r="F256" s="15"/>
      <c r="G256" s="15"/>
      <c r="H256" s="15" t="s">
        <v>39</v>
      </c>
      <c r="I256" s="16"/>
      <c r="J256" s="14" t="s">
        <v>38</v>
      </c>
      <c r="K256" s="15"/>
      <c r="L256" s="15"/>
      <c r="M256" s="15"/>
      <c r="N256" s="15" t="s">
        <v>37</v>
      </c>
      <c r="O256" s="15"/>
      <c r="P256" s="15"/>
      <c r="Q256" s="15"/>
      <c r="R256" s="15"/>
      <c r="S256" s="16"/>
      <c r="T256" s="14" t="s">
        <v>36</v>
      </c>
      <c r="U256" s="15"/>
      <c r="V256" s="16"/>
      <c r="W256" s="14"/>
      <c r="X256" s="15"/>
      <c r="Y256" s="15"/>
      <c r="Z256" s="16"/>
    </row>
    <row r="257" spans="1:31" ht="13.5" customHeight="1">
      <c r="B257" s="17" t="s">
        <v>35</v>
      </c>
      <c r="C257" s="18" t="s">
        <v>22</v>
      </c>
      <c r="D257" s="18"/>
      <c r="E257" s="18" t="s">
        <v>34</v>
      </c>
      <c r="F257" s="18" t="s">
        <v>33</v>
      </c>
      <c r="G257" s="18" t="s">
        <v>7</v>
      </c>
      <c r="H257" s="18" t="s">
        <v>32</v>
      </c>
      <c r="I257" s="19" t="s">
        <v>22</v>
      </c>
      <c r="J257" s="17" t="s">
        <v>31</v>
      </c>
      <c r="K257" s="18"/>
      <c r="L257" s="18" t="s">
        <v>30</v>
      </c>
      <c r="M257" s="18"/>
      <c r="N257" s="18" t="s">
        <v>29</v>
      </c>
      <c r="O257" s="18"/>
      <c r="P257" s="18" t="s">
        <v>28</v>
      </c>
      <c r="Q257" s="20" t="s">
        <v>27</v>
      </c>
      <c r="R257" s="21" t="s">
        <v>26</v>
      </c>
      <c r="S257" s="22" t="s">
        <v>7</v>
      </c>
      <c r="T257" s="23" t="s">
        <v>25</v>
      </c>
      <c r="U257" s="24" t="s">
        <v>24</v>
      </c>
      <c r="V257" s="25" t="s">
        <v>7</v>
      </c>
      <c r="W257" s="26" t="s">
        <v>23</v>
      </c>
      <c r="X257" s="4" t="s">
        <v>22</v>
      </c>
      <c r="Y257" s="4" t="s">
        <v>21</v>
      </c>
      <c r="Z257" s="5" t="s">
        <v>20</v>
      </c>
    </row>
    <row r="258" spans="1:31" ht="13.5" customHeight="1">
      <c r="B258" s="54" t="s">
        <v>3</v>
      </c>
      <c r="C258" s="28" t="s">
        <v>17</v>
      </c>
      <c r="D258" s="20" t="s">
        <v>13</v>
      </c>
      <c r="E258" s="20" t="s">
        <v>19</v>
      </c>
      <c r="F258" s="28" t="s">
        <v>19</v>
      </c>
      <c r="G258" s="20" t="s">
        <v>3</v>
      </c>
      <c r="H258" s="20" t="s">
        <v>19</v>
      </c>
      <c r="I258" s="29" t="s">
        <v>12</v>
      </c>
      <c r="J258" s="55" t="s">
        <v>18</v>
      </c>
      <c r="K258" s="20" t="s">
        <v>17</v>
      </c>
      <c r="L258" s="56" t="s">
        <v>16</v>
      </c>
      <c r="M258" s="20" t="s">
        <v>15</v>
      </c>
      <c r="N258" s="20" t="s">
        <v>14</v>
      </c>
      <c r="O258" s="20" t="s">
        <v>13</v>
      </c>
      <c r="P258" s="20" t="s">
        <v>12</v>
      </c>
      <c r="Q258" s="20" t="s">
        <v>11</v>
      </c>
      <c r="R258" s="21" t="s">
        <v>11</v>
      </c>
      <c r="S258" s="22" t="s">
        <v>10</v>
      </c>
      <c r="T258" s="23" t="s">
        <v>9</v>
      </c>
      <c r="U258" s="24" t="s">
        <v>9</v>
      </c>
      <c r="V258" s="33" t="s">
        <v>8</v>
      </c>
      <c r="W258" s="34" t="s">
        <v>7</v>
      </c>
      <c r="X258" s="4" t="s">
        <v>6</v>
      </c>
      <c r="Y258" s="6" t="s">
        <v>5</v>
      </c>
      <c r="Z258" s="7" t="s">
        <v>5</v>
      </c>
    </row>
    <row r="259" spans="1:31" ht="13.5" customHeight="1" thickBot="1">
      <c r="B259" s="57"/>
      <c r="C259" s="3">
        <f>C239</f>
        <v>1.05</v>
      </c>
      <c r="D259" s="37"/>
      <c r="E259" s="38"/>
      <c r="F259" s="38"/>
      <c r="G259" s="37"/>
      <c r="H259" s="37"/>
      <c r="I259" s="39"/>
      <c r="J259" s="58" t="s">
        <v>4</v>
      </c>
      <c r="K259" s="44"/>
      <c r="L259" s="59"/>
      <c r="M259" s="37"/>
      <c r="N259" s="37"/>
      <c r="O259" s="37"/>
      <c r="P259" s="37"/>
      <c r="Q259" s="42"/>
      <c r="R259" s="42"/>
      <c r="S259" s="52" t="s">
        <v>3</v>
      </c>
      <c r="T259" s="43"/>
      <c r="U259" s="44"/>
      <c r="V259" s="39" t="s">
        <v>3</v>
      </c>
      <c r="W259" s="45" t="s">
        <v>3</v>
      </c>
      <c r="X259" s="8" t="s">
        <v>2</v>
      </c>
      <c r="Y259" s="9" t="s">
        <v>1</v>
      </c>
      <c r="Z259" s="13" t="s">
        <v>0</v>
      </c>
    </row>
    <row r="260" spans="1:31" ht="13.5" customHeight="1">
      <c r="A260" s="1">
        <v>1</v>
      </c>
      <c r="B260" s="3">
        <f t="shared" ref="B260:B269" si="383">B240</f>
        <v>1000</v>
      </c>
      <c r="C260" s="1">
        <f t="shared" ref="C260:C269" si="384">IF(B260&lt;1,0.000001,C240*(1+AB240))</f>
        <v>3.5274869473648537E-2</v>
      </c>
      <c r="D260" s="1">
        <f t="shared" si="323"/>
        <v>0.87543332737466661</v>
      </c>
      <c r="E260" s="1">
        <f t="shared" ref="E260:E269" si="385">R260</f>
        <v>72.90072029221156</v>
      </c>
      <c r="F260" s="1">
        <f t="shared" ref="F260:F269" si="386">F240</f>
        <v>20</v>
      </c>
      <c r="G260" s="1">
        <f t="shared" ref="G260:G269" si="387">(E260-F260)*C260*(1-D260)*4200</f>
        <v>976.28845834390222</v>
      </c>
      <c r="H260" s="1">
        <f t="shared" ref="H260:H269" si="388">(E260-F260)*D260+F260</f>
        <v>66.311053585927311</v>
      </c>
      <c r="I260" s="1">
        <f t="shared" ref="I260:I269" si="389">B260*0.001*6/C260</f>
        <v>170.09276262474035</v>
      </c>
      <c r="J260" s="3">
        <f t="shared" ref="J260:J269" si="390">J240</f>
        <v>10</v>
      </c>
      <c r="K260" s="47">
        <f t="shared" ref="K260:K269" si="391">K259+C260</f>
        <v>3.5274869473648537E-2</v>
      </c>
      <c r="L260" s="3">
        <f t="shared" ref="L260:L269" si="392">L240</f>
        <v>3</v>
      </c>
      <c r="M260" s="47">
        <f t="shared" ref="M260:M269" si="393">K260/(J260*J260*3.14/4000)</f>
        <v>0.44936139456877117</v>
      </c>
      <c r="N260" s="47">
        <f t="shared" ref="N260:N269" si="394">L260*26400/J260^1.27*M260^1.83*$N$69</f>
        <v>1229.9442683335647</v>
      </c>
      <c r="O260" s="1">
        <f t="shared" ref="O260:O269" si="395">EXP(-(J260+2)*3.14/1000*$O$66/(M260*J260*J260*3.14/4000*4200)*L260)</f>
        <v>0.99239915825904923</v>
      </c>
      <c r="P260" s="1">
        <f t="shared" ref="P260:P269" si="396">L260/M260</f>
        <v>6.6761409330210588</v>
      </c>
      <c r="Q260" s="1">
        <f t="shared" ref="Q260:Q269" si="397">R261</f>
        <v>73.305889925395036</v>
      </c>
      <c r="R260" s="1">
        <f t="shared" ref="R260:R269" si="398">(Q260-F260)*O260+F260</f>
        <v>72.90072029221156</v>
      </c>
      <c r="S260" s="47">
        <f t="shared" ref="S260:S269" si="399">K260*(1-O260)*4200*(Q260-F260)</f>
        <v>60.027684885978402</v>
      </c>
      <c r="T260" s="1">
        <f t="shared" ref="T260:T269" si="400">(U259*K259+H260*C260)/K260</f>
        <v>66.311053585927311</v>
      </c>
      <c r="U260" s="47">
        <f t="shared" ref="U260:U269" si="401">(T260-F260)*O260+F260</f>
        <v>65.959050596763987</v>
      </c>
      <c r="V260" s="47">
        <f t="shared" ref="V260:V269" si="402">K260*(1-O260)*4200*(T260-F260)</f>
        <v>52.150809887695601</v>
      </c>
      <c r="W260" s="2">
        <f t="shared" si="324"/>
        <v>976.29845834390221</v>
      </c>
      <c r="X260" s="1">
        <f t="shared" ref="X260:X269" si="403">C260*3600</f>
        <v>126.98953010513473</v>
      </c>
      <c r="Y260" s="1">
        <f t="shared" ref="Y260:Y269" si="404">Y261-2*N260/1000</f>
        <v>6</v>
      </c>
      <c r="Z260" s="2">
        <f t="shared" ref="Z260:Z269" si="405">-1.1-1.8*LOG10(Y260/X260/X260)</f>
        <v>5.0728922476011462</v>
      </c>
      <c r="AA260" s="3">
        <f t="shared" ref="AA260:AA269" si="406">AA240</f>
        <v>1000</v>
      </c>
      <c r="AB260" s="1">
        <f t="shared" ref="AB260" si="407">((AA260/W260)-1)*AB$23+AC260+AD260</f>
        <v>2.4276942622958542E-2</v>
      </c>
      <c r="AC260" s="1">
        <f>((N272/N271)-1)*AB$24</f>
        <v>0</v>
      </c>
      <c r="AD260" s="64">
        <f t="shared" ref="AD260" si="408">(AC$21-(X260/1000/SQRT(Y260/104))*1000/B260)*AB$21</f>
        <v>0</v>
      </c>
      <c r="AE260" s="1">
        <f t="shared" ref="AE260:AE270" si="409">AE261</f>
        <v>15.116943519073025</v>
      </c>
    </row>
    <row r="261" spans="1:31" ht="13.5" customHeight="1">
      <c r="A261" s="1">
        <v>2</v>
      </c>
      <c r="B261" s="3">
        <f t="shared" si="383"/>
        <v>1000</v>
      </c>
      <c r="C261" s="1">
        <f t="shared" si="384"/>
        <v>3.2753636166020068E-2</v>
      </c>
      <c r="D261" s="1">
        <f t="shared" si="323"/>
        <v>0.86616156128482913</v>
      </c>
      <c r="E261" s="1">
        <f t="shared" si="385"/>
        <v>73.305889925395036</v>
      </c>
      <c r="F261" s="1">
        <f t="shared" si="386"/>
        <v>20</v>
      </c>
      <c r="G261" s="1">
        <f t="shared" si="387"/>
        <v>981.44252309450337</v>
      </c>
      <c r="H261" s="1">
        <f t="shared" si="388"/>
        <v>66.171512843457407</v>
      </c>
      <c r="I261" s="1">
        <f t="shared" si="389"/>
        <v>183.1857681262467</v>
      </c>
      <c r="J261" s="3">
        <f t="shared" si="390"/>
        <v>14.142135623730951</v>
      </c>
      <c r="K261" s="47">
        <f t="shared" si="391"/>
        <v>6.8028505639668613E-2</v>
      </c>
      <c r="L261" s="3">
        <f t="shared" si="392"/>
        <v>3</v>
      </c>
      <c r="M261" s="47">
        <f t="shared" si="393"/>
        <v>0.43330258369215668</v>
      </c>
      <c r="N261" s="47">
        <f t="shared" si="394"/>
        <v>740.98460889910575</v>
      </c>
      <c r="O261" s="1">
        <f t="shared" si="395"/>
        <v>0.99469217572155721</v>
      </c>
      <c r="P261" s="1">
        <f t="shared" si="396"/>
        <v>6.9235682243966821</v>
      </c>
      <c r="Q261" s="1">
        <f t="shared" si="397"/>
        <v>73.590338022641575</v>
      </c>
      <c r="R261" s="1">
        <f t="shared" si="398"/>
        <v>73.305889925395036</v>
      </c>
      <c r="S261" s="47">
        <f t="shared" si="399"/>
        <v>81.272431748460718</v>
      </c>
      <c r="T261" s="1">
        <f t="shared" si="400"/>
        <v>66.061344643381304</v>
      </c>
      <c r="U261" s="47">
        <f t="shared" si="401"/>
        <v>65.816859119985452</v>
      </c>
      <c r="V261" s="47">
        <f t="shared" si="402"/>
        <v>69.854336190040854</v>
      </c>
      <c r="W261" s="2">
        <f t="shared" si="324"/>
        <v>981.45252309450336</v>
      </c>
      <c r="X261" s="1">
        <f t="shared" si="403"/>
        <v>117.91309019767225</v>
      </c>
      <c r="Y261" s="1">
        <f t="shared" si="404"/>
        <v>8.4598885366671297</v>
      </c>
      <c r="Z261" s="2">
        <f t="shared" si="405"/>
        <v>4.6883669226645672</v>
      </c>
      <c r="AA261" s="3">
        <f t="shared" si="406"/>
        <v>1000</v>
      </c>
      <c r="AB261" s="1">
        <f t="shared" si="381"/>
        <v>1.8897986880727302E-2</v>
      </c>
      <c r="AC261" s="1">
        <f t="shared" ref="AC261:AC269" si="410">AC260</f>
        <v>0</v>
      </c>
      <c r="AD261" s="64">
        <f t="shared" si="382"/>
        <v>0</v>
      </c>
      <c r="AE261" s="1">
        <f t="shared" si="409"/>
        <v>15.116943519073025</v>
      </c>
    </row>
    <row r="262" spans="1:31" ht="13.5" customHeight="1">
      <c r="A262" s="1">
        <v>3</v>
      </c>
      <c r="B262" s="3">
        <f t="shared" si="383"/>
        <v>1000</v>
      </c>
      <c r="C262" s="1">
        <f t="shared" si="384"/>
        <v>3.1147100061876595E-2</v>
      </c>
      <c r="D262" s="1">
        <f t="shared" si="323"/>
        <v>0.85950782072105092</v>
      </c>
      <c r="E262" s="1">
        <f t="shared" si="385"/>
        <v>73.590338022641575</v>
      </c>
      <c r="F262" s="1">
        <f t="shared" si="386"/>
        <v>20</v>
      </c>
      <c r="G262" s="1">
        <f t="shared" si="387"/>
        <v>984.93042687744992</v>
      </c>
      <c r="H262" s="1">
        <f t="shared" si="388"/>
        <v>66.061314645545139</v>
      </c>
      <c r="I262" s="1">
        <f t="shared" si="389"/>
        <v>192.63430586091306</v>
      </c>
      <c r="J262" s="3">
        <f t="shared" si="390"/>
        <v>17.320508075688775</v>
      </c>
      <c r="K262" s="47">
        <f t="shared" si="391"/>
        <v>9.9175605701545211E-2</v>
      </c>
      <c r="L262" s="3">
        <f t="shared" si="392"/>
        <v>3</v>
      </c>
      <c r="M262" s="47">
        <f t="shared" si="393"/>
        <v>0.42112783737386489</v>
      </c>
      <c r="N262" s="47">
        <f t="shared" si="394"/>
        <v>543.67670673605687</v>
      </c>
      <c r="O262" s="1">
        <f t="shared" si="395"/>
        <v>0.99564019715599228</v>
      </c>
      <c r="P262" s="1">
        <f t="shared" si="396"/>
        <v>7.1237276042065307</v>
      </c>
      <c r="Q262" s="1">
        <f t="shared" si="397"/>
        <v>73.825004430034369</v>
      </c>
      <c r="R262" s="1">
        <f t="shared" si="398"/>
        <v>73.590338022641575</v>
      </c>
      <c r="S262" s="47">
        <f t="shared" si="399"/>
        <v>97.747368982140003</v>
      </c>
      <c r="T262" s="1">
        <f t="shared" si="400"/>
        <v>65.893632845352954</v>
      </c>
      <c r="U262" s="47">
        <f t="shared" si="401"/>
        <v>65.693545654351936</v>
      </c>
      <c r="V262" s="47">
        <f t="shared" si="402"/>
        <v>83.343827114715396</v>
      </c>
      <c r="W262" s="2">
        <f t="shared" si="324"/>
        <v>984.94042687744991</v>
      </c>
      <c r="X262" s="1">
        <f t="shared" si="403"/>
        <v>112.12956022275574</v>
      </c>
      <c r="Y262" s="1">
        <f t="shared" si="404"/>
        <v>9.9418577544653406</v>
      </c>
      <c r="Z262" s="2">
        <f t="shared" si="405"/>
        <v>4.4835508466655583</v>
      </c>
      <c r="AA262" s="3">
        <f t="shared" si="406"/>
        <v>1000</v>
      </c>
      <c r="AB262" s="1">
        <f t="shared" si="381"/>
        <v>1.5289831457414582E-2</v>
      </c>
      <c r="AC262" s="1">
        <f t="shared" si="410"/>
        <v>0</v>
      </c>
      <c r="AD262" s="64">
        <f t="shared" si="382"/>
        <v>0</v>
      </c>
      <c r="AE262" s="1">
        <f t="shared" si="409"/>
        <v>15.116943519073025</v>
      </c>
    </row>
    <row r="263" spans="1:31" ht="13.5" customHeight="1">
      <c r="A263" s="1">
        <v>4</v>
      </c>
      <c r="B263" s="3">
        <f t="shared" si="383"/>
        <v>1000</v>
      </c>
      <c r="C263" s="1">
        <f t="shared" si="384"/>
        <v>2.9913558290316136E-2</v>
      </c>
      <c r="D263" s="1">
        <f t="shared" si="323"/>
        <v>0.85393813880092817</v>
      </c>
      <c r="E263" s="1">
        <f t="shared" si="385"/>
        <v>73.825004430034369</v>
      </c>
      <c r="F263" s="1">
        <f t="shared" si="386"/>
        <v>20</v>
      </c>
      <c r="G263" s="1">
        <f t="shared" si="387"/>
        <v>987.73006101178999</v>
      </c>
      <c r="H263" s="1">
        <f t="shared" si="388"/>
        <v>65.963224103935261</v>
      </c>
      <c r="I263" s="1">
        <f t="shared" si="389"/>
        <v>200.57794334492027</v>
      </c>
      <c r="J263" s="3">
        <f t="shared" si="390"/>
        <v>20</v>
      </c>
      <c r="K263" s="47">
        <f t="shared" si="391"/>
        <v>0.12908916399186135</v>
      </c>
      <c r="L263" s="3">
        <f t="shared" si="392"/>
        <v>3</v>
      </c>
      <c r="M263" s="47">
        <f t="shared" si="393"/>
        <v>0.41111198723522724</v>
      </c>
      <c r="N263" s="47">
        <f t="shared" si="394"/>
        <v>433.38528023831225</v>
      </c>
      <c r="O263" s="1">
        <f t="shared" si="395"/>
        <v>0.9961849103406466</v>
      </c>
      <c r="P263" s="1">
        <f t="shared" si="396"/>
        <v>7.2972817459673847</v>
      </c>
      <c r="Q263" s="1">
        <f t="shared" si="397"/>
        <v>74.031138066153645</v>
      </c>
      <c r="R263" s="1">
        <f t="shared" si="398"/>
        <v>73.825004430034369</v>
      </c>
      <c r="S263" s="47">
        <f t="shared" si="399"/>
        <v>111.76039878040895</v>
      </c>
      <c r="T263" s="1">
        <f t="shared" si="400"/>
        <v>65.756037669729466</v>
      </c>
      <c r="U263" s="47">
        <f t="shared" si="401"/>
        <v>65.581474283562699</v>
      </c>
      <c r="V263" s="47">
        <f t="shared" si="402"/>
        <v>94.643814652198259</v>
      </c>
      <c r="W263" s="2">
        <f t="shared" si="324"/>
        <v>987.74006101178998</v>
      </c>
      <c r="X263" s="1">
        <f t="shared" si="403"/>
        <v>107.68880984513808</v>
      </c>
      <c r="Y263" s="1">
        <f t="shared" si="404"/>
        <v>11.029211167937454</v>
      </c>
      <c r="Z263" s="2">
        <f t="shared" si="405"/>
        <v>4.3392340646768321</v>
      </c>
      <c r="AA263" s="3">
        <f t="shared" si="406"/>
        <v>1000</v>
      </c>
      <c r="AB263" s="1">
        <f t="shared" si="381"/>
        <v>1.241211070820758E-2</v>
      </c>
      <c r="AC263" s="1">
        <f t="shared" si="410"/>
        <v>0</v>
      </c>
      <c r="AD263" s="64">
        <f t="shared" si="382"/>
        <v>0</v>
      </c>
      <c r="AE263" s="1">
        <f t="shared" si="409"/>
        <v>15.116943519073025</v>
      </c>
    </row>
    <row r="264" spans="1:31" ht="13.5" customHeight="1">
      <c r="A264" s="1">
        <v>5</v>
      </c>
      <c r="B264" s="3">
        <f t="shared" si="383"/>
        <v>1000</v>
      </c>
      <c r="C264" s="1">
        <f t="shared" si="384"/>
        <v>2.8892979976940108E-2</v>
      </c>
      <c r="D264" s="1">
        <f t="shared" si="323"/>
        <v>0.84898939653517713</v>
      </c>
      <c r="E264" s="1">
        <f t="shared" si="385"/>
        <v>74.031138066153645</v>
      </c>
      <c r="F264" s="1">
        <f t="shared" si="386"/>
        <v>20</v>
      </c>
      <c r="G264" s="1">
        <f t="shared" si="387"/>
        <v>990.1322021599658</v>
      </c>
      <c r="H264" s="1">
        <f t="shared" si="388"/>
        <v>65.871863300892613</v>
      </c>
      <c r="I264" s="1">
        <f t="shared" si="389"/>
        <v>207.6628995966731</v>
      </c>
      <c r="J264" s="3">
        <f t="shared" si="390"/>
        <v>22.360679774997898</v>
      </c>
      <c r="K264" s="47">
        <f t="shared" si="391"/>
        <v>0.15798214396880145</v>
      </c>
      <c r="L264" s="3">
        <f t="shared" si="392"/>
        <v>3</v>
      </c>
      <c r="M264" s="47">
        <f t="shared" si="393"/>
        <v>0.40250227762751956</v>
      </c>
      <c r="N264" s="47">
        <f t="shared" si="394"/>
        <v>361.8389447162408</v>
      </c>
      <c r="O264" s="1">
        <f t="shared" si="395"/>
        <v>0.99654751156103982</v>
      </c>
      <c r="P264" s="1">
        <f t="shared" si="396"/>
        <v>7.4533739726467738</v>
      </c>
      <c r="Q264" s="1">
        <f t="shared" si="397"/>
        <v>74.218326210575427</v>
      </c>
      <c r="R264" s="1">
        <f t="shared" si="398"/>
        <v>74.031138066153645</v>
      </c>
      <c r="S264" s="47">
        <f t="shared" si="399"/>
        <v>124.20401440143883</v>
      </c>
      <c r="T264" s="1">
        <f t="shared" si="400"/>
        <v>65.634582842874906</v>
      </c>
      <c r="U264" s="47">
        <f t="shared" si="401"/>
        <v>65.477029973193112</v>
      </c>
      <c r="V264" s="47">
        <f t="shared" si="402"/>
        <v>104.54026859122276</v>
      </c>
      <c r="W264" s="2">
        <f t="shared" si="324"/>
        <v>990.14220215996579</v>
      </c>
      <c r="X264" s="1">
        <f t="shared" si="403"/>
        <v>104.01472791698438</v>
      </c>
      <c r="Y264" s="1">
        <f t="shared" si="404"/>
        <v>11.895981728414078</v>
      </c>
      <c r="Z264" s="2">
        <f t="shared" si="405"/>
        <v>4.2258208953293224</v>
      </c>
      <c r="AA264" s="3">
        <f t="shared" si="406"/>
        <v>1000</v>
      </c>
      <c r="AB264" s="1">
        <f t="shared" si="381"/>
        <v>9.9559414986349903E-3</v>
      </c>
      <c r="AC264" s="1">
        <f t="shared" si="410"/>
        <v>0</v>
      </c>
      <c r="AD264" s="64">
        <f t="shared" si="382"/>
        <v>0</v>
      </c>
      <c r="AE264" s="1">
        <f t="shared" si="409"/>
        <v>15.116943519073025</v>
      </c>
    </row>
    <row r="265" spans="1:31" ht="13.5" customHeight="1">
      <c r="A265" s="1">
        <v>6</v>
      </c>
      <c r="B265" s="3">
        <f t="shared" si="383"/>
        <v>1000</v>
      </c>
      <c r="C265" s="1">
        <f t="shared" si="384"/>
        <v>2.8013623786328479E-2</v>
      </c>
      <c r="D265" s="1">
        <f t="shared" si="323"/>
        <v>0.84445208133202421</v>
      </c>
      <c r="E265" s="1">
        <f t="shared" si="385"/>
        <v>74.218326210575427</v>
      </c>
      <c r="F265" s="1">
        <f t="shared" si="386"/>
        <v>20</v>
      </c>
      <c r="G265" s="1">
        <f t="shared" si="387"/>
        <v>992.26778755951614</v>
      </c>
      <c r="H265" s="1">
        <f t="shared" si="388"/>
        <v>65.784778414859062</v>
      </c>
      <c r="I265" s="1">
        <f t="shared" si="389"/>
        <v>214.18150132108889</v>
      </c>
      <c r="J265" s="3">
        <f t="shared" si="390"/>
        <v>24.494897427831781</v>
      </c>
      <c r="K265" s="47">
        <f t="shared" si="391"/>
        <v>0.18599576775512994</v>
      </c>
      <c r="L265" s="3">
        <f t="shared" si="392"/>
        <v>3</v>
      </c>
      <c r="M265" s="47">
        <f t="shared" si="393"/>
        <v>0.39489547294082794</v>
      </c>
      <c r="N265" s="47">
        <f t="shared" si="394"/>
        <v>311.22286355023618</v>
      </c>
      <c r="O265" s="1">
        <f t="shared" si="395"/>
        <v>0.9968101724245374</v>
      </c>
      <c r="P265" s="1">
        <f t="shared" si="396"/>
        <v>7.5969470545172015</v>
      </c>
      <c r="Q265" s="1">
        <f t="shared" si="397"/>
        <v>74.391826759452513</v>
      </c>
      <c r="R265" s="1">
        <f t="shared" si="398"/>
        <v>74.218326210575427</v>
      </c>
      <c r="S265" s="47">
        <f t="shared" si="399"/>
        <v>135.53554473618641</v>
      </c>
      <c r="T265" s="1">
        <f t="shared" si="400"/>
        <v>65.523381291665089</v>
      </c>
      <c r="U265" s="47">
        <f t="shared" si="401"/>
        <v>65.378169554692647</v>
      </c>
      <c r="V265" s="47">
        <f t="shared" si="402"/>
        <v>113.43682772203788</v>
      </c>
      <c r="W265" s="2">
        <f t="shared" si="324"/>
        <v>992.27778755951613</v>
      </c>
      <c r="X265" s="1">
        <f t="shared" si="403"/>
        <v>100.84904563078253</v>
      </c>
      <c r="Y265" s="1">
        <f t="shared" si="404"/>
        <v>12.61965961784656</v>
      </c>
      <c r="Z265" s="2">
        <f t="shared" si="405"/>
        <v>4.1313326996796462</v>
      </c>
      <c r="AA265" s="3">
        <f t="shared" si="406"/>
        <v>1000</v>
      </c>
      <c r="AB265" s="1">
        <f t="shared" si="381"/>
        <v>7.7823090845119403E-3</v>
      </c>
      <c r="AC265" s="1">
        <f t="shared" si="410"/>
        <v>0</v>
      </c>
      <c r="AD265" s="64">
        <f t="shared" si="382"/>
        <v>0</v>
      </c>
      <c r="AE265" s="1">
        <f t="shared" si="409"/>
        <v>15.116943519073025</v>
      </c>
    </row>
    <row r="266" spans="1:31" ht="13.5" customHeight="1">
      <c r="A266" s="1">
        <v>7</v>
      </c>
      <c r="B266" s="3">
        <f t="shared" si="383"/>
        <v>1000</v>
      </c>
      <c r="C266" s="1">
        <f t="shared" si="384"/>
        <v>2.7236306644678507E-2</v>
      </c>
      <c r="D266" s="1">
        <f t="shared" si="323"/>
        <v>0.84021118744065348</v>
      </c>
      <c r="E266" s="1">
        <f t="shared" si="385"/>
        <v>74.391826759452513</v>
      </c>
      <c r="F266" s="1">
        <f t="shared" si="386"/>
        <v>20</v>
      </c>
      <c r="G266" s="1">
        <f t="shared" si="387"/>
        <v>994.20860986088246</v>
      </c>
      <c r="H266" s="1">
        <f t="shared" si="388"/>
        <v>65.700621348625901</v>
      </c>
      <c r="I266" s="1">
        <f t="shared" si="389"/>
        <v>220.29418592892418</v>
      </c>
      <c r="J266" s="3">
        <f t="shared" si="390"/>
        <v>26.457513110645905</v>
      </c>
      <c r="K266" s="47">
        <f t="shared" si="391"/>
        <v>0.21323207439980846</v>
      </c>
      <c r="L266" s="3">
        <f t="shared" si="392"/>
        <v>3</v>
      </c>
      <c r="M266" s="47">
        <f t="shared" si="393"/>
        <v>0.38804745113704908</v>
      </c>
      <c r="N266" s="47">
        <f t="shared" si="394"/>
        <v>273.31104803763088</v>
      </c>
      <c r="O266" s="1">
        <f t="shared" si="395"/>
        <v>0.99701120445845048</v>
      </c>
      <c r="P266" s="1">
        <f t="shared" si="396"/>
        <v>7.731013285126493</v>
      </c>
      <c r="Q266" s="1">
        <f t="shared" si="397"/>
        <v>74.554880141990665</v>
      </c>
      <c r="R266" s="1">
        <f t="shared" si="398"/>
        <v>74.391826759452513</v>
      </c>
      <c r="S266" s="47">
        <f t="shared" si="399"/>
        <v>146.02648618536389</v>
      </c>
      <c r="T266" s="1">
        <f t="shared" si="400"/>
        <v>65.419356585126096</v>
      </c>
      <c r="U266" s="47">
        <f t="shared" si="401"/>
        <v>65.283607414664431</v>
      </c>
      <c r="V266" s="47">
        <f t="shared" si="402"/>
        <v>121.57352430550168</v>
      </c>
      <c r="W266" s="2">
        <f t="shared" si="324"/>
        <v>994.21860986088245</v>
      </c>
      <c r="X266" s="1">
        <f t="shared" si="403"/>
        <v>98.050703920842622</v>
      </c>
      <c r="Y266" s="1">
        <f t="shared" si="404"/>
        <v>13.242105344947033</v>
      </c>
      <c r="Z266" s="2">
        <f t="shared" si="405"/>
        <v>4.0496999078658682</v>
      </c>
      <c r="AA266" s="3">
        <f t="shared" si="406"/>
        <v>1000</v>
      </c>
      <c r="AB266" s="1">
        <f t="shared" si="381"/>
        <v>5.8150089746624722E-3</v>
      </c>
      <c r="AC266" s="1">
        <f t="shared" si="410"/>
        <v>0</v>
      </c>
      <c r="AD266" s="64">
        <f t="shared" si="382"/>
        <v>0</v>
      </c>
      <c r="AE266" s="1">
        <f t="shared" si="409"/>
        <v>15.116943519073025</v>
      </c>
    </row>
    <row r="267" spans="1:31" ht="13.5" customHeight="1">
      <c r="A267" s="1">
        <v>8</v>
      </c>
      <c r="B267" s="3">
        <f t="shared" si="383"/>
        <v>1000</v>
      </c>
      <c r="C267" s="1">
        <f t="shared" si="384"/>
        <v>2.6536952269869848E-2</v>
      </c>
      <c r="D267" s="1">
        <f t="shared" si="323"/>
        <v>0.83619583628329675</v>
      </c>
      <c r="E267" s="1">
        <f t="shared" si="385"/>
        <v>74.554880141990665</v>
      </c>
      <c r="F267" s="1">
        <f t="shared" si="386"/>
        <v>20</v>
      </c>
      <c r="G267" s="1">
        <f t="shared" si="387"/>
        <v>995.99894064387013</v>
      </c>
      <c r="H267" s="1">
        <f t="shared" si="388"/>
        <v>65.618563623666901</v>
      </c>
      <c r="I267" s="1">
        <f t="shared" si="389"/>
        <v>226.09981504215244</v>
      </c>
      <c r="J267" s="3">
        <f t="shared" si="390"/>
        <v>28.284271247461902</v>
      </c>
      <c r="K267" s="47">
        <f t="shared" si="391"/>
        <v>0.23976902666967831</v>
      </c>
      <c r="L267" s="3">
        <f t="shared" si="392"/>
        <v>3</v>
      </c>
      <c r="M267" s="47">
        <f t="shared" si="393"/>
        <v>0.38179781316827749</v>
      </c>
      <c r="N267" s="47">
        <f t="shared" si="394"/>
        <v>243.74080533716892</v>
      </c>
      <c r="O267" s="1">
        <f t="shared" si="395"/>
        <v>0.99717114520180394</v>
      </c>
      <c r="P267" s="1">
        <f t="shared" si="396"/>
        <v>7.85756203029311</v>
      </c>
      <c r="Q267" s="1">
        <f t="shared" si="397"/>
        <v>74.709645785979944</v>
      </c>
      <c r="R267" s="1">
        <f t="shared" si="398"/>
        <v>74.554880141990665</v>
      </c>
      <c r="S267" s="47">
        <f t="shared" si="399"/>
        <v>155.85363284910159</v>
      </c>
      <c r="T267" s="1">
        <f t="shared" si="400"/>
        <v>65.320679412888126</v>
      </c>
      <c r="U267" s="47">
        <f t="shared" si="401"/>
        <v>65.192473791473475</v>
      </c>
      <c r="V267" s="47">
        <f t="shared" si="402"/>
        <v>129.1068956527258</v>
      </c>
      <c r="W267" s="2">
        <f t="shared" si="324"/>
        <v>996.00894064387012</v>
      </c>
      <c r="X267" s="1">
        <f t="shared" si="403"/>
        <v>95.533028171531456</v>
      </c>
      <c r="Y267" s="1">
        <f t="shared" si="404"/>
        <v>13.788727441022296</v>
      </c>
      <c r="Z267" s="2">
        <f t="shared" si="405"/>
        <v>3.9774092219372439</v>
      </c>
      <c r="AA267" s="3">
        <f t="shared" si="406"/>
        <v>1000</v>
      </c>
      <c r="AB267" s="1">
        <f t="shared" si="381"/>
        <v>4.0070517374570791E-3</v>
      </c>
      <c r="AC267" s="1">
        <f t="shared" si="410"/>
        <v>0</v>
      </c>
      <c r="AD267" s="64">
        <f t="shared" si="382"/>
        <v>0</v>
      </c>
      <c r="AE267" s="1">
        <f t="shared" si="409"/>
        <v>15.116943519073025</v>
      </c>
    </row>
    <row r="268" spans="1:31" ht="13.5" customHeight="1">
      <c r="A268" s="1">
        <v>9</v>
      </c>
      <c r="B268" s="3">
        <f t="shared" si="383"/>
        <v>1000</v>
      </c>
      <c r="C268" s="1">
        <f t="shared" si="384"/>
        <v>2.5899553471212429E-2</v>
      </c>
      <c r="D268" s="1">
        <f t="shared" ref="D268:D329" si="411">EXP((1+(E268-F268-55)/55*$B$18)*B268/C268/-210000)</f>
        <v>0.83235882006004547</v>
      </c>
      <c r="E268" s="1">
        <f t="shared" si="385"/>
        <v>74.709645785979944</v>
      </c>
      <c r="F268" s="1">
        <f t="shared" si="386"/>
        <v>20</v>
      </c>
      <c r="G268" s="1">
        <f t="shared" si="387"/>
        <v>997.66831323174267</v>
      </c>
      <c r="H268" s="1">
        <f t="shared" si="388"/>
        <v>65.538056212321308</v>
      </c>
      <c r="I268" s="1">
        <f t="shared" si="389"/>
        <v>231.66422566586141</v>
      </c>
      <c r="J268" s="3">
        <f t="shared" si="390"/>
        <v>30</v>
      </c>
      <c r="K268" s="47">
        <f t="shared" si="391"/>
        <v>0.26566858014089073</v>
      </c>
      <c r="L268" s="3">
        <f t="shared" si="392"/>
        <v>3</v>
      </c>
      <c r="M268" s="47">
        <f t="shared" si="393"/>
        <v>0.37603479142376606</v>
      </c>
      <c r="N268" s="47">
        <f t="shared" si="394"/>
        <v>219.96748699358221</v>
      </c>
      <c r="O268" s="1">
        <f t="shared" si="395"/>
        <v>0.99730210591387614</v>
      </c>
      <c r="P268" s="1">
        <f t="shared" si="396"/>
        <v>7.9779851982344914</v>
      </c>
      <c r="Q268" s="1">
        <f t="shared" si="397"/>
        <v>74.857645904444212</v>
      </c>
      <c r="R268" s="1">
        <f t="shared" si="398"/>
        <v>74.709645785979944</v>
      </c>
      <c r="S268" s="47">
        <f t="shared" si="399"/>
        <v>165.13972159897006</v>
      </c>
      <c r="T268" s="1">
        <f t="shared" si="400"/>
        <v>65.226164001970758</v>
      </c>
      <c r="U268" s="47">
        <f t="shared" si="401"/>
        <v>65.104148601571779</v>
      </c>
      <c r="V268" s="47">
        <f t="shared" si="402"/>
        <v>136.14576435314649</v>
      </c>
      <c r="W268" s="2">
        <f t="shared" ref="W268:W329" si="412">G268+(S268+V268)*$AB$22+0.01</f>
        <v>997.67831323174266</v>
      </c>
      <c r="X268" s="1">
        <f t="shared" si="403"/>
        <v>93.238392496364739</v>
      </c>
      <c r="Y268" s="1">
        <f t="shared" si="404"/>
        <v>14.276209051696634</v>
      </c>
      <c r="Z268" s="2">
        <f t="shared" si="405"/>
        <v>3.9122379804470602</v>
      </c>
      <c r="AA268" s="3">
        <f t="shared" si="406"/>
        <v>1000</v>
      </c>
      <c r="AB268" s="1">
        <f t="shared" si="381"/>
        <v>2.3270895412537129E-3</v>
      </c>
      <c r="AC268" s="1">
        <f t="shared" si="410"/>
        <v>0</v>
      </c>
      <c r="AD268" s="64">
        <f t="shared" si="382"/>
        <v>0</v>
      </c>
      <c r="AE268" s="1">
        <f t="shared" si="409"/>
        <v>15.116943519073025</v>
      </c>
    </row>
    <row r="269" spans="1:31" ht="13.5" customHeight="1">
      <c r="A269" s="1">
        <v>10</v>
      </c>
      <c r="B269" s="3">
        <f t="shared" si="383"/>
        <v>1000</v>
      </c>
      <c r="C269" s="1">
        <f t="shared" si="384"/>
        <v>2.5312847792751614E-2</v>
      </c>
      <c r="D269" s="1">
        <f t="shared" si="411"/>
        <v>0.82866689278284089</v>
      </c>
      <c r="E269" s="1">
        <f t="shared" si="385"/>
        <v>74.857645904444212</v>
      </c>
      <c r="F269" s="1">
        <f t="shared" si="386"/>
        <v>20</v>
      </c>
      <c r="G269" s="1">
        <f t="shared" si="387"/>
        <v>999.23757351830034</v>
      </c>
      <c r="H269" s="1">
        <f t="shared" si="388"/>
        <v>65.458714977017124</v>
      </c>
      <c r="I269" s="1">
        <f t="shared" si="389"/>
        <v>237.03378020224625</v>
      </c>
      <c r="J269" s="3">
        <f t="shared" si="390"/>
        <v>31.622776601683793</v>
      </c>
      <c r="K269" s="47">
        <f t="shared" si="391"/>
        <v>0.29098142793364234</v>
      </c>
      <c r="L269" s="3">
        <f t="shared" si="392"/>
        <v>3</v>
      </c>
      <c r="M269" s="47">
        <f t="shared" si="393"/>
        <v>0.37067697825941698</v>
      </c>
      <c r="N269" s="47">
        <f t="shared" si="394"/>
        <v>200.39974669461361</v>
      </c>
      <c r="O269" s="1">
        <f t="shared" si="395"/>
        <v>0.99741174371716734</v>
      </c>
      <c r="P269" s="1">
        <f t="shared" si="396"/>
        <v>8.093300031976792</v>
      </c>
      <c r="Q269" s="1">
        <f t="shared" si="397"/>
        <v>75</v>
      </c>
      <c r="R269" s="1">
        <f t="shared" si="398"/>
        <v>74.857645904444212</v>
      </c>
      <c r="S269" s="47">
        <f t="shared" si="399"/>
        <v>173.97407158751648</v>
      </c>
      <c r="T269" s="1">
        <f t="shared" si="400"/>
        <v>65.134992785538472</v>
      </c>
      <c r="U269" s="47">
        <f t="shared" si="401"/>
        <v>65.018171856885687</v>
      </c>
      <c r="V269" s="47">
        <f t="shared" si="402"/>
        <v>142.76942665406017</v>
      </c>
      <c r="W269" s="2">
        <f t="shared" si="412"/>
        <v>999.24757351830033</v>
      </c>
      <c r="X269" s="1">
        <f t="shared" si="403"/>
        <v>91.126252053905816</v>
      </c>
      <c r="Y269" s="1">
        <f t="shared" si="404"/>
        <v>14.716144025683798</v>
      </c>
      <c r="Z269" s="2">
        <f t="shared" si="405"/>
        <v>3.8526873772554393</v>
      </c>
      <c r="AA269" s="3">
        <f t="shared" si="406"/>
        <v>1000</v>
      </c>
      <c r="AB269" s="1">
        <f t="shared" si="381"/>
        <v>7.5299305361364866E-4</v>
      </c>
      <c r="AC269" s="1">
        <f t="shared" si="410"/>
        <v>0</v>
      </c>
      <c r="AD269" s="64">
        <f t="shared" si="382"/>
        <v>0</v>
      </c>
      <c r="AE269" s="1">
        <f t="shared" si="409"/>
        <v>15.116943519073025</v>
      </c>
    </row>
    <row r="270" spans="1:31" ht="13.5" customHeight="1">
      <c r="K270" s="47"/>
      <c r="L270" s="47"/>
      <c r="M270" s="47"/>
      <c r="N270" s="47">
        <f>SUM(N260:N269)</f>
        <v>4558.4717595365128</v>
      </c>
      <c r="O270" s="2" t="s">
        <v>46</v>
      </c>
      <c r="P270" s="2"/>
      <c r="Q270" s="2"/>
      <c r="R270" s="49">
        <f>R250</f>
        <v>75</v>
      </c>
      <c r="S270" s="50" t="s">
        <v>45</v>
      </c>
      <c r="T270" s="2"/>
      <c r="U270" s="11">
        <f>U269</f>
        <v>65.018171856885687</v>
      </c>
      <c r="V270" s="47"/>
      <c r="W270" s="2"/>
      <c r="Y270" s="1">
        <f>N271</f>
        <v>15.116943519073025</v>
      </c>
      <c r="AE270" s="1">
        <f t="shared" si="409"/>
        <v>15.116943519073025</v>
      </c>
    </row>
    <row r="271" spans="1:31" ht="13.5" customHeight="1">
      <c r="K271" s="47"/>
      <c r="L271" s="2" t="s">
        <v>44</v>
      </c>
      <c r="M271" s="2"/>
      <c r="N271" s="47">
        <f>N270*2/1000+Y271</f>
        <v>15.116943519073025</v>
      </c>
      <c r="O271" s="2" t="s">
        <v>1</v>
      </c>
      <c r="P271" s="1">
        <f>SUM(P260:P269)</f>
        <v>74.730900080386519</v>
      </c>
      <c r="Q271" s="1" t="s">
        <v>43</v>
      </c>
      <c r="S271" s="47"/>
      <c r="U271" s="47"/>
      <c r="V271" s="47"/>
      <c r="W271" s="2"/>
      <c r="Y271" s="3">
        <f>Y251</f>
        <v>6</v>
      </c>
      <c r="Z271" s="3" t="s">
        <v>42</v>
      </c>
      <c r="AE271" s="1">
        <f>N271</f>
        <v>15.116943519073025</v>
      </c>
    </row>
    <row r="272" spans="1:31" ht="13.5" customHeight="1">
      <c r="L272" s="60" t="s">
        <v>41</v>
      </c>
      <c r="N272" s="3">
        <f>N252</f>
        <v>15</v>
      </c>
      <c r="O272" s="1" t="s">
        <v>1</v>
      </c>
    </row>
    <row r="275" spans="1:31" ht="13.5" customHeight="1" thickBot="1"/>
    <row r="276" spans="1:31" ht="13.5" customHeight="1">
      <c r="B276" s="14" t="s">
        <v>40</v>
      </c>
      <c r="C276" s="15"/>
      <c r="D276" s="15"/>
      <c r="E276" s="15"/>
      <c r="F276" s="15"/>
      <c r="G276" s="15"/>
      <c r="H276" s="15" t="s">
        <v>39</v>
      </c>
      <c r="I276" s="16"/>
      <c r="J276" s="14" t="s">
        <v>38</v>
      </c>
      <c r="K276" s="15"/>
      <c r="L276" s="15"/>
      <c r="M276" s="15"/>
      <c r="N276" s="15" t="s">
        <v>37</v>
      </c>
      <c r="O276" s="15"/>
      <c r="P276" s="15"/>
      <c r="Q276" s="15"/>
      <c r="R276" s="15"/>
      <c r="S276" s="16"/>
      <c r="T276" s="14" t="s">
        <v>36</v>
      </c>
      <c r="U276" s="15"/>
      <c r="V276" s="16"/>
      <c r="W276" s="14"/>
      <c r="X276" s="15"/>
      <c r="Y276" s="15"/>
      <c r="Z276" s="16"/>
    </row>
    <row r="277" spans="1:31" ht="13.5" customHeight="1">
      <c r="B277" s="17" t="s">
        <v>35</v>
      </c>
      <c r="C277" s="18" t="s">
        <v>22</v>
      </c>
      <c r="D277" s="18"/>
      <c r="E277" s="18" t="s">
        <v>34</v>
      </c>
      <c r="F277" s="18" t="s">
        <v>33</v>
      </c>
      <c r="G277" s="18" t="s">
        <v>7</v>
      </c>
      <c r="H277" s="18" t="s">
        <v>32</v>
      </c>
      <c r="I277" s="19" t="s">
        <v>22</v>
      </c>
      <c r="J277" s="17" t="s">
        <v>31</v>
      </c>
      <c r="K277" s="18"/>
      <c r="L277" s="18" t="s">
        <v>30</v>
      </c>
      <c r="M277" s="18"/>
      <c r="N277" s="18" t="s">
        <v>29</v>
      </c>
      <c r="O277" s="18"/>
      <c r="P277" s="18" t="s">
        <v>28</v>
      </c>
      <c r="Q277" s="20" t="s">
        <v>27</v>
      </c>
      <c r="R277" s="21" t="s">
        <v>26</v>
      </c>
      <c r="S277" s="22" t="s">
        <v>7</v>
      </c>
      <c r="T277" s="23" t="s">
        <v>25</v>
      </c>
      <c r="U277" s="24" t="s">
        <v>24</v>
      </c>
      <c r="V277" s="25" t="s">
        <v>7</v>
      </c>
      <c r="W277" s="26" t="s">
        <v>23</v>
      </c>
      <c r="X277" s="4" t="s">
        <v>22</v>
      </c>
      <c r="Y277" s="4" t="s">
        <v>21</v>
      </c>
      <c r="Z277" s="5" t="s">
        <v>20</v>
      </c>
    </row>
    <row r="278" spans="1:31" ht="13.5" customHeight="1">
      <c r="B278" s="54" t="s">
        <v>3</v>
      </c>
      <c r="C278" s="28" t="s">
        <v>17</v>
      </c>
      <c r="D278" s="20" t="s">
        <v>13</v>
      </c>
      <c r="E278" s="20" t="s">
        <v>19</v>
      </c>
      <c r="F278" s="28" t="s">
        <v>19</v>
      </c>
      <c r="G278" s="20" t="s">
        <v>3</v>
      </c>
      <c r="H278" s="20" t="s">
        <v>19</v>
      </c>
      <c r="I278" s="29" t="s">
        <v>12</v>
      </c>
      <c r="J278" s="55" t="s">
        <v>18</v>
      </c>
      <c r="K278" s="20" t="s">
        <v>17</v>
      </c>
      <c r="L278" s="56" t="s">
        <v>16</v>
      </c>
      <c r="M278" s="20" t="s">
        <v>15</v>
      </c>
      <c r="N278" s="20" t="s">
        <v>14</v>
      </c>
      <c r="O278" s="20" t="s">
        <v>13</v>
      </c>
      <c r="P278" s="20" t="s">
        <v>12</v>
      </c>
      <c r="Q278" s="20" t="s">
        <v>11</v>
      </c>
      <c r="R278" s="21" t="s">
        <v>11</v>
      </c>
      <c r="S278" s="22" t="s">
        <v>10</v>
      </c>
      <c r="T278" s="23" t="s">
        <v>9</v>
      </c>
      <c r="U278" s="24" t="s">
        <v>9</v>
      </c>
      <c r="V278" s="33" t="s">
        <v>8</v>
      </c>
      <c r="W278" s="34" t="s">
        <v>7</v>
      </c>
      <c r="X278" s="4" t="s">
        <v>6</v>
      </c>
      <c r="Y278" s="6" t="s">
        <v>5</v>
      </c>
      <c r="Z278" s="7" t="s">
        <v>5</v>
      </c>
    </row>
    <row r="279" spans="1:31" ht="13.5" customHeight="1" thickBot="1">
      <c r="B279" s="57"/>
      <c r="C279" s="3">
        <f>C259</f>
        <v>1.05</v>
      </c>
      <c r="D279" s="37"/>
      <c r="E279" s="38"/>
      <c r="F279" s="38"/>
      <c r="G279" s="37"/>
      <c r="H279" s="37"/>
      <c r="I279" s="39"/>
      <c r="J279" s="58" t="s">
        <v>4</v>
      </c>
      <c r="K279" s="44"/>
      <c r="L279" s="59"/>
      <c r="M279" s="37"/>
      <c r="N279" s="37"/>
      <c r="O279" s="37"/>
      <c r="P279" s="37"/>
      <c r="Q279" s="42"/>
      <c r="R279" s="42"/>
      <c r="S279" s="52" t="s">
        <v>3</v>
      </c>
      <c r="T279" s="43"/>
      <c r="U279" s="44"/>
      <c r="V279" s="39" t="s">
        <v>3</v>
      </c>
      <c r="W279" s="45" t="s">
        <v>3</v>
      </c>
      <c r="X279" s="8" t="s">
        <v>2</v>
      </c>
      <c r="Y279" s="9" t="s">
        <v>1</v>
      </c>
      <c r="Z279" s="13" t="s">
        <v>0</v>
      </c>
    </row>
    <row r="280" spans="1:31" ht="13.5" customHeight="1">
      <c r="A280" s="1">
        <v>1</v>
      </c>
      <c r="B280" s="3">
        <f t="shared" ref="B280:B289" si="413">B260</f>
        <v>1000</v>
      </c>
      <c r="C280" s="1">
        <f t="shared" ref="C280:C289" si="414">IF(B280&lt;1,0.000001,C260*(1+AB260))</f>
        <v>3.6131235455892655E-2</v>
      </c>
      <c r="D280" s="1">
        <f t="shared" si="411"/>
        <v>0.87816900440083445</v>
      </c>
      <c r="E280" s="1">
        <f t="shared" ref="E280:E289" si="415">R280</f>
        <v>72.937067443544635</v>
      </c>
      <c r="F280" s="1">
        <f t="shared" ref="F280:F289" si="416">F260</f>
        <v>20</v>
      </c>
      <c r="G280" s="1">
        <f t="shared" ref="G280:G289" si="417">(E280-F280)*C280*(1-D280)*4200</f>
        <v>978.70041972370029</v>
      </c>
      <c r="H280" s="1">
        <f t="shared" ref="H280:H289" si="418">(E280-F280)*D280+F280</f>
        <v>66.487691812797408</v>
      </c>
      <c r="I280" s="1">
        <f t="shared" ref="I280:I289" si="419">B280*0.001*6/C280</f>
        <v>166.06130192598931</v>
      </c>
      <c r="J280" s="3">
        <f t="shared" ref="J280:J289" si="420">J260</f>
        <v>10</v>
      </c>
      <c r="K280" s="47">
        <f t="shared" ref="K280:K289" si="421">K279+C280</f>
        <v>3.6131235455892655E-2</v>
      </c>
      <c r="L280" s="3">
        <f t="shared" ref="L280:L289" si="422">L260</f>
        <v>3</v>
      </c>
      <c r="M280" s="47">
        <f t="shared" ref="M280:M289" si="423">K280/(J280*J280*3.14/4000)</f>
        <v>0.46027051536168989</v>
      </c>
      <c r="N280" s="47">
        <f t="shared" ref="N280:N289" si="424">L280*26400/J280^1.27*M280^1.83*$N$69</f>
        <v>1285.1365298485393</v>
      </c>
      <c r="O280" s="1">
        <f t="shared" ref="O280:O289" si="425">EXP(-(J280+2)*3.14/1000*$O$66/(M280*J280*J280*3.14/4000*4200)*L280)</f>
        <v>0.99257863976098237</v>
      </c>
      <c r="P280" s="1">
        <f t="shared" ref="P280:P289" si="426">L280/M280</f>
        <v>6.5179061005950798</v>
      </c>
      <c r="Q280" s="1">
        <f t="shared" ref="Q280:Q289" si="427">R281</f>
        <v>73.332869883530975</v>
      </c>
      <c r="R280" s="1">
        <f t="shared" ref="R280:R289" si="428">(Q280-F280)*O280+F280</f>
        <v>72.937067443544635</v>
      </c>
      <c r="S280" s="47">
        <f t="shared" ref="S280:S289" si="429">K280*(1-O280)*4200*(Q280-F280)</f>
        <v>60.063490843285358</v>
      </c>
      <c r="T280" s="1">
        <f t="shared" ref="T280:T289" si="430">(U279*K279+H280*C280)/K280</f>
        <v>66.487691812797408</v>
      </c>
      <c r="U280" s="47">
        <f t="shared" ref="U280:U289" si="431">(T280-F280)*O280+F280</f>
        <v>66.142689905174208</v>
      </c>
      <c r="V280" s="47">
        <f t="shared" ref="V280:V289" si="432">K280*(1-O280)*4200*(T280-F280)</f>
        <v>52.354449659677059</v>
      </c>
      <c r="W280" s="2">
        <f t="shared" si="412"/>
        <v>978.71041972370028</v>
      </c>
      <c r="X280" s="1">
        <f t="shared" ref="X280:X289" si="433">C280*3600</f>
        <v>130.07244764121356</v>
      </c>
      <c r="Y280" s="1">
        <f t="shared" ref="Y280:Y289" si="434">Y281-2*N280/1000</f>
        <v>6.0000000000000009</v>
      </c>
      <c r="Z280" s="2">
        <f t="shared" ref="Z280:Z289" si="435">-1.1-1.8*LOG10(Y280/X280/X280)</f>
        <v>5.1103948749125774</v>
      </c>
      <c r="AA280" s="3">
        <f t="shared" ref="AA280:AA289" si="436">AA260</f>
        <v>1000</v>
      </c>
      <c r="AB280" s="1">
        <f t="shared" ref="AB280" si="437">((AA280/W280)-1)*AB$23+AC280+AD280</f>
        <v>2.1752685827448381E-2</v>
      </c>
      <c r="AC280" s="1">
        <f>((N292/N291)-1)*AB$24</f>
        <v>0</v>
      </c>
      <c r="AD280" s="64">
        <f t="shared" ref="AD280" si="438">(AC$21-(X280/1000/SQRT(Y280/104))*1000/B280)*AB$21</f>
        <v>0</v>
      </c>
      <c r="AE280" s="1">
        <f t="shared" ref="AE280:AE290" si="439">AE281</f>
        <v>15.437669279956379</v>
      </c>
    </row>
    <row r="281" spans="1:31" ht="13.5" customHeight="1">
      <c r="A281" s="1">
        <v>2</v>
      </c>
      <c r="B281" s="3">
        <f t="shared" si="413"/>
        <v>1000</v>
      </c>
      <c r="C281" s="1">
        <f t="shared" si="414"/>
        <v>3.3372613952581634E-2</v>
      </c>
      <c r="D281" s="1">
        <f t="shared" si="411"/>
        <v>0.86844983697743172</v>
      </c>
      <c r="E281" s="1">
        <f t="shared" si="415"/>
        <v>73.332869883530975</v>
      </c>
      <c r="F281" s="1">
        <f t="shared" si="416"/>
        <v>20</v>
      </c>
      <c r="G281" s="1">
        <f t="shared" si="417"/>
        <v>983.39016310928173</v>
      </c>
      <c r="H281" s="1">
        <f t="shared" si="418"/>
        <v>66.316922155891064</v>
      </c>
      <c r="I281" s="1">
        <f t="shared" si="419"/>
        <v>179.78813432250945</v>
      </c>
      <c r="J281" s="3">
        <f t="shared" si="420"/>
        <v>14.142135623730951</v>
      </c>
      <c r="K281" s="47">
        <f t="shared" si="421"/>
        <v>6.9503849408474289E-2</v>
      </c>
      <c r="L281" s="3">
        <f t="shared" si="422"/>
        <v>3</v>
      </c>
      <c r="M281" s="47">
        <f t="shared" si="423"/>
        <v>0.44269967776098262</v>
      </c>
      <c r="N281" s="47">
        <f t="shared" si="424"/>
        <v>770.656763178147</v>
      </c>
      <c r="O281" s="1">
        <f t="shared" si="425"/>
        <v>0.99480455061021145</v>
      </c>
      <c r="P281" s="1">
        <f t="shared" si="426"/>
        <v>6.7766030803838211</v>
      </c>
      <c r="Q281" s="1">
        <f t="shared" si="427"/>
        <v>73.611405226098611</v>
      </c>
      <c r="R281" s="1">
        <f t="shared" si="428"/>
        <v>73.332869883530975</v>
      </c>
      <c r="S281" s="47">
        <f t="shared" si="429"/>
        <v>81.308969719988269</v>
      </c>
      <c r="T281" s="1">
        <f t="shared" si="430"/>
        <v>66.226348374320139</v>
      </c>
      <c r="U281" s="47">
        <f t="shared" si="431"/>
        <v>65.986181720866625</v>
      </c>
      <c r="V281" s="47">
        <f t="shared" si="432"/>
        <v>70.108529041195311</v>
      </c>
      <c r="W281" s="2">
        <f t="shared" si="412"/>
        <v>983.40016310928172</v>
      </c>
      <c r="X281" s="1">
        <f t="shared" si="433"/>
        <v>120.14141022929388</v>
      </c>
      <c r="Y281" s="1">
        <f t="shared" si="434"/>
        <v>8.5702730596970795</v>
      </c>
      <c r="Z281" s="2">
        <f t="shared" si="435"/>
        <v>4.7075034247628071</v>
      </c>
      <c r="AA281" s="3">
        <f t="shared" si="436"/>
        <v>1000</v>
      </c>
      <c r="AB281" s="1">
        <f t="shared" si="381"/>
        <v>1.6880042848715249E-2</v>
      </c>
      <c r="AC281" s="1">
        <f t="shared" ref="AC281:AC289" si="440">AC280</f>
        <v>0</v>
      </c>
      <c r="AD281" s="64">
        <f t="shared" si="382"/>
        <v>0</v>
      </c>
      <c r="AE281" s="1">
        <f t="shared" si="439"/>
        <v>15.437669279956379</v>
      </c>
    </row>
    <row r="282" spans="1:31" ht="13.5" customHeight="1">
      <c r="A282" s="1">
        <v>3</v>
      </c>
      <c r="B282" s="3">
        <f t="shared" si="413"/>
        <v>1000</v>
      </c>
      <c r="C282" s="1">
        <f t="shared" si="414"/>
        <v>3.1623333972209913E-2</v>
      </c>
      <c r="D282" s="1">
        <f t="shared" si="411"/>
        <v>0.86145080922803829</v>
      </c>
      <c r="E282" s="1">
        <f t="shared" si="415"/>
        <v>73.611405226098611</v>
      </c>
      <c r="F282" s="1">
        <f t="shared" si="416"/>
        <v>20</v>
      </c>
      <c r="G282" s="1">
        <f t="shared" si="417"/>
        <v>986.54779303121336</v>
      </c>
      <c r="H282" s="1">
        <f t="shared" si="418"/>
        <v>66.183588415874937</v>
      </c>
      <c r="I282" s="1">
        <f t="shared" si="419"/>
        <v>189.73331544588896</v>
      </c>
      <c r="J282" s="3">
        <f t="shared" si="420"/>
        <v>17.320508075688775</v>
      </c>
      <c r="K282" s="47">
        <f t="shared" si="421"/>
        <v>0.1011271833806842</v>
      </c>
      <c r="L282" s="3">
        <f t="shared" si="422"/>
        <v>3</v>
      </c>
      <c r="M282" s="47">
        <f t="shared" si="423"/>
        <v>0.4294147914254105</v>
      </c>
      <c r="N282" s="47">
        <f t="shared" si="424"/>
        <v>563.41461395311035</v>
      </c>
      <c r="O282" s="1">
        <f t="shared" si="425"/>
        <v>0.99572415358479383</v>
      </c>
      <c r="P282" s="1">
        <f t="shared" si="426"/>
        <v>6.9862521270907383</v>
      </c>
      <c r="Q282" s="1">
        <f t="shared" si="427"/>
        <v>73.841623739955992</v>
      </c>
      <c r="R282" s="1">
        <f t="shared" si="428"/>
        <v>73.611405226098611</v>
      </c>
      <c r="S282" s="47">
        <f t="shared" si="429"/>
        <v>97.781669447628147</v>
      </c>
      <c r="T282" s="1">
        <f t="shared" si="430"/>
        <v>66.04791248044981</v>
      </c>
      <c r="U282" s="47">
        <f t="shared" si="431"/>
        <v>65.851018678942552</v>
      </c>
      <c r="V282" s="47">
        <f t="shared" si="432"/>
        <v>83.627525400487386</v>
      </c>
      <c r="W282" s="2">
        <f t="shared" si="412"/>
        <v>986.55779303121335</v>
      </c>
      <c r="X282" s="1">
        <f t="shared" si="433"/>
        <v>113.84400229995569</v>
      </c>
      <c r="Y282" s="1">
        <f t="shared" si="434"/>
        <v>10.111586586053374</v>
      </c>
      <c r="Z282" s="2">
        <f t="shared" si="435"/>
        <v>4.4940418102731865</v>
      </c>
      <c r="AA282" s="3">
        <f t="shared" si="436"/>
        <v>1000</v>
      </c>
      <c r="AB282" s="1">
        <f t="shared" si="381"/>
        <v>1.3625361903518263E-2</v>
      </c>
      <c r="AC282" s="1">
        <f t="shared" si="440"/>
        <v>0</v>
      </c>
      <c r="AD282" s="64">
        <f t="shared" si="382"/>
        <v>0</v>
      </c>
      <c r="AE282" s="1">
        <f t="shared" si="439"/>
        <v>15.437669279956379</v>
      </c>
    </row>
    <row r="283" spans="1:31" ht="13.5" customHeight="1">
      <c r="A283" s="1">
        <v>4</v>
      </c>
      <c r="B283" s="3">
        <f t="shared" si="413"/>
        <v>1000</v>
      </c>
      <c r="C283" s="1">
        <f t="shared" si="414"/>
        <v>3.0284848687491959E-2</v>
      </c>
      <c r="D283" s="1">
        <f t="shared" si="411"/>
        <v>0.85557734748666336</v>
      </c>
      <c r="E283" s="1">
        <f t="shared" si="415"/>
        <v>73.841623739955992</v>
      </c>
      <c r="F283" s="1">
        <f t="shared" si="416"/>
        <v>20</v>
      </c>
      <c r="G283" s="1">
        <f t="shared" si="417"/>
        <v>989.07258521010476</v>
      </c>
      <c r="H283" s="1">
        <f t="shared" si="418"/>
        <v>66.065673623806504</v>
      </c>
      <c r="I283" s="1">
        <f t="shared" si="419"/>
        <v>198.1188699971309</v>
      </c>
      <c r="J283" s="3">
        <f t="shared" si="420"/>
        <v>20</v>
      </c>
      <c r="K283" s="47">
        <f t="shared" si="421"/>
        <v>0.13141203206817617</v>
      </c>
      <c r="L283" s="3">
        <f t="shared" si="422"/>
        <v>3</v>
      </c>
      <c r="M283" s="47">
        <f t="shared" si="423"/>
        <v>0.41850965626807696</v>
      </c>
      <c r="N283" s="47">
        <f t="shared" si="424"/>
        <v>447.76292800537806</v>
      </c>
      <c r="O283" s="1">
        <f t="shared" si="425"/>
        <v>0.99625222017939241</v>
      </c>
      <c r="P283" s="1">
        <f t="shared" si="426"/>
        <v>7.1682933836019922</v>
      </c>
      <c r="Q283" s="1">
        <f t="shared" si="427"/>
        <v>74.044169387407607</v>
      </c>
      <c r="R283" s="1">
        <f t="shared" si="428"/>
        <v>73.841623739955992</v>
      </c>
      <c r="S283" s="47">
        <f t="shared" si="429"/>
        <v>111.79112749636609</v>
      </c>
      <c r="T283" s="1">
        <f t="shared" si="430"/>
        <v>65.900487456062251</v>
      </c>
      <c r="U283" s="47">
        <f t="shared" si="431"/>
        <v>65.728462535418373</v>
      </c>
      <c r="V283" s="47">
        <f t="shared" si="432"/>
        <v>94.945806430352917</v>
      </c>
      <c r="W283" s="2">
        <f t="shared" si="412"/>
        <v>989.08258521010475</v>
      </c>
      <c r="X283" s="1">
        <f t="shared" si="433"/>
        <v>109.02545527497105</v>
      </c>
      <c r="Y283" s="1">
        <f t="shared" si="434"/>
        <v>11.238415813959595</v>
      </c>
      <c r="Z283" s="2">
        <f t="shared" si="435"/>
        <v>4.3438312980499276</v>
      </c>
      <c r="AA283" s="3">
        <f t="shared" si="436"/>
        <v>1000</v>
      </c>
      <c r="AB283" s="1">
        <f t="shared" si="381"/>
        <v>1.1037920344716401E-2</v>
      </c>
      <c r="AC283" s="1">
        <f t="shared" si="440"/>
        <v>0</v>
      </c>
      <c r="AD283" s="64">
        <f t="shared" si="382"/>
        <v>0</v>
      </c>
      <c r="AE283" s="1">
        <f t="shared" si="439"/>
        <v>15.437669279956379</v>
      </c>
    </row>
    <row r="284" spans="1:31" ht="13.5" customHeight="1">
      <c r="A284" s="1">
        <v>5</v>
      </c>
      <c r="B284" s="3">
        <f t="shared" si="413"/>
        <v>1000</v>
      </c>
      <c r="C284" s="1">
        <f t="shared" si="414"/>
        <v>2.9180636795311757E-2</v>
      </c>
      <c r="D284" s="1">
        <f t="shared" si="411"/>
        <v>0.85034811312452163</v>
      </c>
      <c r="E284" s="1">
        <f t="shared" si="415"/>
        <v>74.044169387407607</v>
      </c>
      <c r="F284" s="1">
        <f t="shared" si="416"/>
        <v>20</v>
      </c>
      <c r="G284" s="1">
        <f t="shared" si="417"/>
        <v>991.23150926854726</v>
      </c>
      <c r="H284" s="1">
        <f t="shared" si="418"/>
        <v>65.956357463964082</v>
      </c>
      <c r="I284" s="1">
        <f t="shared" si="419"/>
        <v>205.61580071357378</v>
      </c>
      <c r="J284" s="3">
        <f t="shared" si="420"/>
        <v>22.360679774997898</v>
      </c>
      <c r="K284" s="47">
        <f t="shared" si="421"/>
        <v>0.16059266886348794</v>
      </c>
      <c r="L284" s="3">
        <f t="shared" si="422"/>
        <v>3</v>
      </c>
      <c r="M284" s="47">
        <f t="shared" si="423"/>
        <v>0.40915329646748511</v>
      </c>
      <c r="N284" s="47">
        <f t="shared" si="424"/>
        <v>372.85564415713799</v>
      </c>
      <c r="O284" s="1">
        <f t="shared" si="425"/>
        <v>0.99660353830095161</v>
      </c>
      <c r="P284" s="1">
        <f t="shared" si="426"/>
        <v>7.3322151523674846</v>
      </c>
      <c r="Q284" s="1">
        <f t="shared" si="427"/>
        <v>74.228353914480579</v>
      </c>
      <c r="R284" s="1">
        <f t="shared" si="428"/>
        <v>74.044169387407607</v>
      </c>
      <c r="S284" s="47">
        <f t="shared" si="429"/>
        <v>124.23047601723478</v>
      </c>
      <c r="T284" s="1">
        <f t="shared" si="430"/>
        <v>65.76987239045377</v>
      </c>
      <c r="U284" s="47">
        <f t="shared" si="431"/>
        <v>65.614416771909262</v>
      </c>
      <c r="V284" s="47">
        <f t="shared" si="432"/>
        <v>104.85313722192532</v>
      </c>
      <c r="W284" s="2">
        <f t="shared" si="412"/>
        <v>991.24150926854725</v>
      </c>
      <c r="X284" s="1">
        <f t="shared" si="433"/>
        <v>105.05029246312232</v>
      </c>
      <c r="Y284" s="1">
        <f t="shared" si="434"/>
        <v>12.133941669970351</v>
      </c>
      <c r="Z284" s="2">
        <f t="shared" si="435"/>
        <v>4.2258267318093115</v>
      </c>
      <c r="AA284" s="3">
        <f t="shared" si="436"/>
        <v>1000</v>
      </c>
      <c r="AB284" s="1">
        <f t="shared" si="381"/>
        <v>8.8358797019263413E-3</v>
      </c>
      <c r="AC284" s="1">
        <f t="shared" si="440"/>
        <v>0</v>
      </c>
      <c r="AD284" s="64">
        <f t="shared" si="382"/>
        <v>0</v>
      </c>
      <c r="AE284" s="1">
        <f t="shared" si="439"/>
        <v>15.437669279956379</v>
      </c>
    </row>
    <row r="285" spans="1:31" ht="13.5" customHeight="1">
      <c r="A285" s="1">
        <v>6</v>
      </c>
      <c r="B285" s="3">
        <f t="shared" si="413"/>
        <v>1000</v>
      </c>
      <c r="C285" s="1">
        <f t="shared" si="414"/>
        <v>2.8231634465210924E-2</v>
      </c>
      <c r="D285" s="1">
        <f t="shared" si="411"/>
        <v>0.84554541447137865</v>
      </c>
      <c r="E285" s="1">
        <f t="shared" si="415"/>
        <v>74.228353914480579</v>
      </c>
      <c r="F285" s="1">
        <f t="shared" si="416"/>
        <v>20</v>
      </c>
      <c r="G285" s="1">
        <f t="shared" si="417"/>
        <v>993.14472635151708</v>
      </c>
      <c r="H285" s="1">
        <f t="shared" si="418"/>
        <v>65.852535986720085</v>
      </c>
      <c r="I285" s="1">
        <f t="shared" si="419"/>
        <v>212.52754626706565</v>
      </c>
      <c r="J285" s="3">
        <f t="shared" si="420"/>
        <v>24.494897427831781</v>
      </c>
      <c r="K285" s="47">
        <f t="shared" si="421"/>
        <v>0.18882430332869887</v>
      </c>
      <c r="L285" s="3">
        <f t="shared" si="422"/>
        <v>3</v>
      </c>
      <c r="M285" s="47">
        <f t="shared" si="423"/>
        <v>0.40090085632420147</v>
      </c>
      <c r="N285" s="47">
        <f t="shared" si="424"/>
        <v>319.93874076485207</v>
      </c>
      <c r="O285" s="1">
        <f t="shared" si="425"/>
        <v>0.99685788000600961</v>
      </c>
      <c r="P285" s="1">
        <f t="shared" si="426"/>
        <v>7.4831468994766945</v>
      </c>
      <c r="Q285" s="1">
        <f t="shared" si="427"/>
        <v>74.399282989219756</v>
      </c>
      <c r="R285" s="1">
        <f t="shared" si="428"/>
        <v>74.228353914480579</v>
      </c>
      <c r="S285" s="47">
        <f t="shared" si="429"/>
        <v>135.55736651621902</v>
      </c>
      <c r="T285" s="1">
        <f t="shared" si="430"/>
        <v>65.650018622482392</v>
      </c>
      <c r="U285" s="47">
        <f t="shared" si="431"/>
        <v>65.506580786242665</v>
      </c>
      <c r="V285" s="47">
        <f t="shared" si="432"/>
        <v>113.75510789556503</v>
      </c>
      <c r="W285" s="2">
        <f t="shared" si="412"/>
        <v>993.15472635151707</v>
      </c>
      <c r="X285" s="1">
        <f t="shared" si="433"/>
        <v>101.63388407475932</v>
      </c>
      <c r="Y285" s="1">
        <f t="shared" si="434"/>
        <v>12.879652958284627</v>
      </c>
      <c r="Z285" s="2">
        <f t="shared" si="435"/>
        <v>4.1275111929019861</v>
      </c>
      <c r="AA285" s="3">
        <f t="shared" si="436"/>
        <v>1000</v>
      </c>
      <c r="AB285" s="1">
        <f t="shared" si="381"/>
        <v>6.8924543848569719E-3</v>
      </c>
      <c r="AC285" s="1">
        <f t="shared" si="440"/>
        <v>0</v>
      </c>
      <c r="AD285" s="64">
        <f t="shared" si="382"/>
        <v>0</v>
      </c>
      <c r="AE285" s="1">
        <f t="shared" si="439"/>
        <v>15.437669279956379</v>
      </c>
    </row>
    <row r="286" spans="1:31" ht="13.5" customHeight="1">
      <c r="A286" s="1">
        <v>7</v>
      </c>
      <c r="B286" s="3">
        <f t="shared" si="413"/>
        <v>1000</v>
      </c>
      <c r="C286" s="1">
        <f t="shared" si="414"/>
        <v>2.739468601225397E-2</v>
      </c>
      <c r="D286" s="1">
        <f t="shared" si="411"/>
        <v>0.84104979769653543</v>
      </c>
      <c r="E286" s="1">
        <f t="shared" si="415"/>
        <v>74.399282989219756</v>
      </c>
      <c r="F286" s="1">
        <f t="shared" si="416"/>
        <v>20</v>
      </c>
      <c r="G286" s="1">
        <f t="shared" si="417"/>
        <v>994.87811609509549</v>
      </c>
      <c r="H286" s="1">
        <f t="shared" si="418"/>
        <v>65.752505952919847</v>
      </c>
      <c r="I286" s="1">
        <f t="shared" si="419"/>
        <v>219.02057929468978</v>
      </c>
      <c r="J286" s="3">
        <f t="shared" si="420"/>
        <v>26.457513110645905</v>
      </c>
      <c r="K286" s="47">
        <f t="shared" si="421"/>
        <v>0.21621898934095285</v>
      </c>
      <c r="L286" s="3">
        <f t="shared" si="422"/>
        <v>3</v>
      </c>
      <c r="M286" s="47">
        <f t="shared" si="423"/>
        <v>0.39348314711729365</v>
      </c>
      <c r="N286" s="47">
        <f t="shared" si="424"/>
        <v>280.35788081010418</v>
      </c>
      <c r="O286" s="1">
        <f t="shared" si="425"/>
        <v>0.99705243167983637</v>
      </c>
      <c r="P286" s="1">
        <f t="shared" si="426"/>
        <v>7.6242147140948022</v>
      </c>
      <c r="Q286" s="1">
        <f t="shared" si="427"/>
        <v>74.560102619245129</v>
      </c>
      <c r="R286" s="1">
        <f t="shared" si="428"/>
        <v>74.399282989219756</v>
      </c>
      <c r="S286" s="47">
        <f t="shared" si="429"/>
        <v>146.04348305513429</v>
      </c>
      <c r="T286" s="1">
        <f t="shared" si="430"/>
        <v>65.537739209210827</v>
      </c>
      <c r="U286" s="47">
        <f t="shared" si="431"/>
        <v>65.403513611745893</v>
      </c>
      <c r="V286" s="47">
        <f t="shared" si="432"/>
        <v>121.89291671573325</v>
      </c>
      <c r="W286" s="2">
        <f t="shared" si="412"/>
        <v>994.88811609509548</v>
      </c>
      <c r="X286" s="1">
        <f t="shared" si="433"/>
        <v>98.620869644114293</v>
      </c>
      <c r="Y286" s="1">
        <f t="shared" si="434"/>
        <v>13.51953043981433</v>
      </c>
      <c r="Z286" s="2">
        <f t="shared" si="435"/>
        <v>4.0425568859171612</v>
      </c>
      <c r="AA286" s="3">
        <f t="shared" si="436"/>
        <v>1000</v>
      </c>
      <c r="AB286" s="1">
        <f t="shared" si="381"/>
        <v>5.1381495287816659E-3</v>
      </c>
      <c r="AC286" s="1">
        <f t="shared" si="440"/>
        <v>0</v>
      </c>
      <c r="AD286" s="64">
        <f t="shared" si="382"/>
        <v>0</v>
      </c>
      <c r="AE286" s="1">
        <f t="shared" si="439"/>
        <v>15.437669279956379</v>
      </c>
    </row>
    <row r="287" spans="1:31" ht="13.5" customHeight="1">
      <c r="A287" s="1">
        <v>8</v>
      </c>
      <c r="B287" s="3">
        <f t="shared" si="413"/>
        <v>1000</v>
      </c>
      <c r="C287" s="1">
        <f t="shared" si="414"/>
        <v>2.6643287210569647E-2</v>
      </c>
      <c r="D287" s="1">
        <f t="shared" si="411"/>
        <v>0.83678767205379423</v>
      </c>
      <c r="E287" s="1">
        <f t="shared" si="415"/>
        <v>74.560102619245129</v>
      </c>
      <c r="F287" s="1">
        <f t="shared" si="416"/>
        <v>20</v>
      </c>
      <c r="G287" s="1">
        <f t="shared" si="417"/>
        <v>996.4723090968115</v>
      </c>
      <c r="H287" s="1">
        <f t="shared" si="418"/>
        <v>65.655221257774258</v>
      </c>
      <c r="I287" s="1">
        <f t="shared" si="419"/>
        <v>225.19743725990924</v>
      </c>
      <c r="J287" s="3">
        <f t="shared" si="420"/>
        <v>28.284271247461902</v>
      </c>
      <c r="K287" s="47">
        <f t="shared" si="421"/>
        <v>0.24286227655152248</v>
      </c>
      <c r="L287" s="3">
        <f t="shared" si="422"/>
        <v>3</v>
      </c>
      <c r="M287" s="47">
        <f t="shared" si="423"/>
        <v>0.38672337030497206</v>
      </c>
      <c r="N287" s="47">
        <f t="shared" si="424"/>
        <v>249.52600746825414</v>
      </c>
      <c r="O287" s="1">
        <f t="shared" si="425"/>
        <v>0.99720712495174924</v>
      </c>
      <c r="P287" s="1">
        <f t="shared" si="426"/>
        <v>7.757483075393619</v>
      </c>
      <c r="Q287" s="1">
        <f t="shared" si="427"/>
        <v>74.712908937433696</v>
      </c>
      <c r="R287" s="1">
        <f t="shared" si="428"/>
        <v>74.560102619245129</v>
      </c>
      <c r="S287" s="47">
        <f t="shared" si="429"/>
        <v>155.86573928828113</v>
      </c>
      <c r="T287" s="1">
        <f t="shared" si="430"/>
        <v>65.431127283170937</v>
      </c>
      <c r="U287" s="47">
        <f t="shared" si="431"/>
        <v>65.304243821367862</v>
      </c>
      <c r="V287" s="47">
        <f t="shared" si="432"/>
        <v>129.42386683897598</v>
      </c>
      <c r="W287" s="2">
        <f t="shared" si="412"/>
        <v>996.48230909681149</v>
      </c>
      <c r="X287" s="1">
        <f t="shared" si="433"/>
        <v>95.915833958050726</v>
      </c>
      <c r="Y287" s="1">
        <f t="shared" si="434"/>
        <v>14.080246201434539</v>
      </c>
      <c r="Z287" s="2">
        <f t="shared" si="435"/>
        <v>3.967306658142943</v>
      </c>
      <c r="AA287" s="3">
        <f t="shared" si="436"/>
        <v>1000</v>
      </c>
      <c r="AB287" s="1">
        <f t="shared" si="381"/>
        <v>3.53010873457138E-3</v>
      </c>
      <c r="AC287" s="1">
        <f t="shared" si="440"/>
        <v>0</v>
      </c>
      <c r="AD287" s="64">
        <f t="shared" si="382"/>
        <v>0</v>
      </c>
      <c r="AE287" s="1">
        <f t="shared" si="439"/>
        <v>15.437669279956379</v>
      </c>
    </row>
    <row r="288" spans="1:31" ht="13.5" customHeight="1">
      <c r="A288" s="1">
        <v>9</v>
      </c>
      <c r="B288" s="3">
        <f t="shared" si="413"/>
        <v>1000</v>
      </c>
      <c r="C288" s="1">
        <f t="shared" si="414"/>
        <v>2.5959824051218428E-2</v>
      </c>
      <c r="D288" s="1">
        <f t="shared" si="411"/>
        <v>0.83271004515709668</v>
      </c>
      <c r="E288" s="1">
        <f t="shared" si="415"/>
        <v>74.712908937433696</v>
      </c>
      <c r="F288" s="1">
        <f t="shared" si="416"/>
        <v>20</v>
      </c>
      <c r="G288" s="1">
        <f t="shared" si="417"/>
        <v>997.95441670845582</v>
      </c>
      <c r="H288" s="1">
        <f t="shared" si="418"/>
        <v>65.559988871966539</v>
      </c>
      <c r="I288" s="1">
        <f t="shared" si="419"/>
        <v>231.1263738984544</v>
      </c>
      <c r="J288" s="3">
        <f t="shared" si="420"/>
        <v>30</v>
      </c>
      <c r="K288" s="47">
        <f t="shared" si="421"/>
        <v>0.26882210060274092</v>
      </c>
      <c r="L288" s="3">
        <f t="shared" si="422"/>
        <v>3</v>
      </c>
      <c r="M288" s="47">
        <f t="shared" si="423"/>
        <v>0.38049837311074441</v>
      </c>
      <c r="N288" s="47">
        <f t="shared" si="424"/>
        <v>224.76921705921157</v>
      </c>
      <c r="O288" s="1">
        <f t="shared" si="425"/>
        <v>0.99733371236224844</v>
      </c>
      <c r="P288" s="1">
        <f t="shared" si="426"/>
        <v>7.8843963916945503</v>
      </c>
      <c r="Q288" s="1">
        <f t="shared" si="427"/>
        <v>74.859179288989125</v>
      </c>
      <c r="R288" s="1">
        <f t="shared" si="428"/>
        <v>74.712908937433696</v>
      </c>
      <c r="S288" s="47">
        <f t="shared" si="429"/>
        <v>165.14695327633282</v>
      </c>
      <c r="T288" s="1">
        <f t="shared" si="430"/>
        <v>65.328940810568611</v>
      </c>
      <c r="U288" s="47">
        <f t="shared" si="431"/>
        <v>65.208080816053013</v>
      </c>
      <c r="V288" s="47">
        <f t="shared" si="432"/>
        <v>136.45731793897153</v>
      </c>
      <c r="W288" s="2">
        <f t="shared" si="412"/>
        <v>997.96441670845581</v>
      </c>
      <c r="X288" s="1">
        <f t="shared" si="433"/>
        <v>93.45536658438634</v>
      </c>
      <c r="Y288" s="1">
        <f t="shared" si="434"/>
        <v>14.579298216371047</v>
      </c>
      <c r="Z288" s="2">
        <f t="shared" si="435"/>
        <v>3.8994493683353464</v>
      </c>
      <c r="AA288" s="3">
        <f t="shared" si="436"/>
        <v>1000</v>
      </c>
      <c r="AB288" s="1">
        <f t="shared" si="381"/>
        <v>2.0397353427270559E-3</v>
      </c>
      <c r="AC288" s="1">
        <f t="shared" si="440"/>
        <v>0</v>
      </c>
      <c r="AD288" s="64">
        <f t="shared" si="382"/>
        <v>0</v>
      </c>
      <c r="AE288" s="1">
        <f t="shared" si="439"/>
        <v>15.437669279956379</v>
      </c>
    </row>
    <row r="289" spans="1:31" ht="13.5" customHeight="1">
      <c r="A289" s="1">
        <v>10</v>
      </c>
      <c r="B289" s="3">
        <f t="shared" si="413"/>
        <v>1000</v>
      </c>
      <c r="C289" s="1">
        <f t="shared" si="414"/>
        <v>2.5331908191306735E-2</v>
      </c>
      <c r="D289" s="1">
        <f t="shared" si="411"/>
        <v>0.82878243131447982</v>
      </c>
      <c r="E289" s="1">
        <f t="shared" si="415"/>
        <v>74.859179288989125</v>
      </c>
      <c r="F289" s="1">
        <f t="shared" si="416"/>
        <v>20</v>
      </c>
      <c r="G289" s="1">
        <f t="shared" si="417"/>
        <v>999.34358185930989</v>
      </c>
      <c r="H289" s="1">
        <f t="shared" si="418"/>
        <v>65.466323991045357</v>
      </c>
      <c r="I289" s="1">
        <f t="shared" si="419"/>
        <v>236.85542970896472</v>
      </c>
      <c r="J289" s="3">
        <f t="shared" si="420"/>
        <v>31.622776601683793</v>
      </c>
      <c r="K289" s="47">
        <f t="shared" si="421"/>
        <v>0.29415400879404763</v>
      </c>
      <c r="L289" s="3">
        <f t="shared" si="422"/>
        <v>3</v>
      </c>
      <c r="M289" s="47">
        <f t="shared" si="423"/>
        <v>0.37471848254018802</v>
      </c>
      <c r="N289" s="47">
        <f t="shared" si="424"/>
        <v>204.41631473345444</v>
      </c>
      <c r="O289" s="1">
        <f t="shared" si="425"/>
        <v>0.99743962343616588</v>
      </c>
      <c r="P289" s="1">
        <f t="shared" si="426"/>
        <v>8.006010217759286</v>
      </c>
      <c r="Q289" s="1">
        <f t="shared" si="427"/>
        <v>75</v>
      </c>
      <c r="R289" s="1">
        <f t="shared" si="428"/>
        <v>74.859179288989125</v>
      </c>
      <c r="S289" s="47">
        <f t="shared" si="429"/>
        <v>173.97650199332531</v>
      </c>
      <c r="T289" s="1">
        <f t="shared" si="430"/>
        <v>65.230320160764862</v>
      </c>
      <c r="U289" s="47">
        <f t="shared" si="431"/>
        <v>65.114513509050525</v>
      </c>
      <c r="V289" s="47">
        <f t="shared" si="432"/>
        <v>143.07296155651002</v>
      </c>
      <c r="W289" s="2">
        <f t="shared" si="412"/>
        <v>999.35358185930988</v>
      </c>
      <c r="X289" s="1">
        <f t="shared" si="433"/>
        <v>91.194869488704242</v>
      </c>
      <c r="Y289" s="1">
        <f t="shared" si="434"/>
        <v>15.02883665048947</v>
      </c>
      <c r="Z289" s="2">
        <f t="shared" si="435"/>
        <v>3.8374278067338907</v>
      </c>
      <c r="AA289" s="3">
        <f t="shared" si="436"/>
        <v>1000</v>
      </c>
      <c r="AB289" s="1">
        <f t="shared" si="381"/>
        <v>6.4683626738748501E-4</v>
      </c>
      <c r="AC289" s="1">
        <f t="shared" si="440"/>
        <v>0</v>
      </c>
      <c r="AD289" s="64">
        <f t="shared" si="382"/>
        <v>0</v>
      </c>
      <c r="AE289" s="1">
        <f t="shared" si="439"/>
        <v>15.437669279956379</v>
      </c>
    </row>
    <row r="290" spans="1:31" ht="13.5" customHeight="1">
      <c r="K290" s="47"/>
      <c r="L290" s="47"/>
      <c r="M290" s="47"/>
      <c r="N290" s="47">
        <f>SUM(N280:N289)</f>
        <v>4718.8346399781894</v>
      </c>
      <c r="O290" s="2" t="s">
        <v>46</v>
      </c>
      <c r="P290" s="2"/>
      <c r="Q290" s="2"/>
      <c r="R290" s="49">
        <f>R270</f>
        <v>75</v>
      </c>
      <c r="S290" s="50" t="s">
        <v>45</v>
      </c>
      <c r="T290" s="2"/>
      <c r="U290" s="11">
        <f>U289</f>
        <v>65.114513509050525</v>
      </c>
      <c r="V290" s="47"/>
      <c r="W290" s="2"/>
      <c r="Y290" s="1">
        <f>N291</f>
        <v>15.437669279956379</v>
      </c>
      <c r="AE290" s="1">
        <f t="shared" si="439"/>
        <v>15.437669279956379</v>
      </c>
    </row>
    <row r="291" spans="1:31" ht="13.5" customHeight="1">
      <c r="K291" s="47"/>
      <c r="L291" s="2" t="s">
        <v>44</v>
      </c>
      <c r="M291" s="2"/>
      <c r="N291" s="47">
        <f>N290*2/1000+Y291</f>
        <v>15.437669279956379</v>
      </c>
      <c r="O291" s="2" t="s">
        <v>1</v>
      </c>
      <c r="P291" s="1">
        <f>SUM(P280:P289)</f>
        <v>73.536521142458071</v>
      </c>
      <c r="Q291" s="1" t="s">
        <v>43</v>
      </c>
      <c r="S291" s="47"/>
      <c r="U291" s="47"/>
      <c r="V291" s="47"/>
      <c r="W291" s="2"/>
      <c r="Y291" s="3">
        <f>Y271</f>
        <v>6</v>
      </c>
      <c r="Z291" s="3" t="s">
        <v>42</v>
      </c>
      <c r="AE291" s="1">
        <f>N291</f>
        <v>15.437669279956379</v>
      </c>
    </row>
    <row r="292" spans="1:31" ht="13.5" customHeight="1">
      <c r="L292" s="60" t="s">
        <v>41</v>
      </c>
      <c r="N292" s="3">
        <f>N272</f>
        <v>15</v>
      </c>
      <c r="O292" s="1" t="s">
        <v>1</v>
      </c>
    </row>
    <row r="295" spans="1:31" ht="13.5" customHeight="1" thickBot="1"/>
    <row r="296" spans="1:31" ht="13.5" customHeight="1">
      <c r="B296" s="14" t="s">
        <v>40</v>
      </c>
      <c r="C296" s="15"/>
      <c r="D296" s="15"/>
      <c r="E296" s="15"/>
      <c r="F296" s="15"/>
      <c r="G296" s="15"/>
      <c r="H296" s="15" t="s">
        <v>39</v>
      </c>
      <c r="I296" s="16"/>
      <c r="J296" s="14" t="s">
        <v>38</v>
      </c>
      <c r="K296" s="15"/>
      <c r="L296" s="15"/>
      <c r="M296" s="15"/>
      <c r="N296" s="15" t="s">
        <v>37</v>
      </c>
      <c r="O296" s="15"/>
      <c r="P296" s="15"/>
      <c r="Q296" s="15"/>
      <c r="R296" s="15"/>
      <c r="S296" s="16"/>
      <c r="T296" s="14" t="s">
        <v>36</v>
      </c>
      <c r="U296" s="15"/>
      <c r="V296" s="16"/>
      <c r="W296" s="14"/>
      <c r="X296" s="15"/>
      <c r="Y296" s="15"/>
      <c r="Z296" s="16"/>
    </row>
    <row r="297" spans="1:31" ht="13.5" customHeight="1">
      <c r="B297" s="17" t="s">
        <v>35</v>
      </c>
      <c r="C297" s="18" t="s">
        <v>22</v>
      </c>
      <c r="D297" s="18"/>
      <c r="E297" s="18" t="s">
        <v>34</v>
      </c>
      <c r="F297" s="18" t="s">
        <v>33</v>
      </c>
      <c r="G297" s="18" t="s">
        <v>7</v>
      </c>
      <c r="H297" s="18" t="s">
        <v>32</v>
      </c>
      <c r="I297" s="19" t="s">
        <v>22</v>
      </c>
      <c r="J297" s="17" t="s">
        <v>31</v>
      </c>
      <c r="K297" s="18"/>
      <c r="L297" s="18" t="s">
        <v>30</v>
      </c>
      <c r="M297" s="18"/>
      <c r="N297" s="18" t="s">
        <v>29</v>
      </c>
      <c r="O297" s="18"/>
      <c r="P297" s="18" t="s">
        <v>28</v>
      </c>
      <c r="Q297" s="20" t="s">
        <v>27</v>
      </c>
      <c r="R297" s="21" t="s">
        <v>26</v>
      </c>
      <c r="S297" s="22" t="s">
        <v>7</v>
      </c>
      <c r="T297" s="23" t="s">
        <v>25</v>
      </c>
      <c r="U297" s="24" t="s">
        <v>24</v>
      </c>
      <c r="V297" s="25" t="s">
        <v>7</v>
      </c>
      <c r="W297" s="26" t="s">
        <v>23</v>
      </c>
      <c r="X297" s="4" t="s">
        <v>22</v>
      </c>
      <c r="Y297" s="4" t="s">
        <v>21</v>
      </c>
      <c r="Z297" s="5" t="s">
        <v>20</v>
      </c>
    </row>
    <row r="298" spans="1:31" ht="13.5" customHeight="1">
      <c r="B298" s="54" t="s">
        <v>3</v>
      </c>
      <c r="C298" s="28" t="s">
        <v>17</v>
      </c>
      <c r="D298" s="20" t="s">
        <v>13</v>
      </c>
      <c r="E298" s="20" t="s">
        <v>19</v>
      </c>
      <c r="F298" s="28" t="s">
        <v>19</v>
      </c>
      <c r="G298" s="20" t="s">
        <v>3</v>
      </c>
      <c r="H298" s="20" t="s">
        <v>19</v>
      </c>
      <c r="I298" s="29" t="s">
        <v>12</v>
      </c>
      <c r="J298" s="55" t="s">
        <v>18</v>
      </c>
      <c r="K298" s="20" t="s">
        <v>17</v>
      </c>
      <c r="L298" s="56" t="s">
        <v>16</v>
      </c>
      <c r="M298" s="20" t="s">
        <v>15</v>
      </c>
      <c r="N298" s="20" t="s">
        <v>14</v>
      </c>
      <c r="O298" s="20" t="s">
        <v>13</v>
      </c>
      <c r="P298" s="20" t="s">
        <v>12</v>
      </c>
      <c r="Q298" s="20" t="s">
        <v>11</v>
      </c>
      <c r="R298" s="21" t="s">
        <v>11</v>
      </c>
      <c r="S298" s="22" t="s">
        <v>10</v>
      </c>
      <c r="T298" s="23" t="s">
        <v>9</v>
      </c>
      <c r="U298" s="24" t="s">
        <v>9</v>
      </c>
      <c r="V298" s="33" t="s">
        <v>8</v>
      </c>
      <c r="W298" s="34" t="s">
        <v>7</v>
      </c>
      <c r="X298" s="4" t="s">
        <v>6</v>
      </c>
      <c r="Y298" s="6" t="s">
        <v>5</v>
      </c>
      <c r="Z298" s="7" t="s">
        <v>5</v>
      </c>
    </row>
    <row r="299" spans="1:31" ht="13.5" customHeight="1" thickBot="1">
      <c r="B299" s="57"/>
      <c r="C299" s="3">
        <f>C279</f>
        <v>1.05</v>
      </c>
      <c r="D299" s="37"/>
      <c r="E299" s="38"/>
      <c r="F299" s="38"/>
      <c r="G299" s="37"/>
      <c r="H299" s="37"/>
      <c r="I299" s="39"/>
      <c r="J299" s="58" t="s">
        <v>4</v>
      </c>
      <c r="K299" s="44"/>
      <c r="L299" s="59"/>
      <c r="M299" s="37"/>
      <c r="N299" s="37"/>
      <c r="O299" s="37"/>
      <c r="P299" s="37"/>
      <c r="Q299" s="42"/>
      <c r="R299" s="42"/>
      <c r="S299" s="52" t="s">
        <v>3</v>
      </c>
      <c r="T299" s="43"/>
      <c r="U299" s="44"/>
      <c r="V299" s="39" t="s">
        <v>3</v>
      </c>
      <c r="W299" s="45" t="s">
        <v>3</v>
      </c>
      <c r="X299" s="8" t="s">
        <v>2</v>
      </c>
      <c r="Y299" s="9" t="s">
        <v>1</v>
      </c>
      <c r="Z299" s="13" t="s">
        <v>0</v>
      </c>
    </row>
    <row r="300" spans="1:31" ht="13.5" customHeight="1">
      <c r="A300" s="1">
        <v>1</v>
      </c>
      <c r="B300" s="3">
        <f t="shared" ref="B300:B309" si="441">B280</f>
        <v>1000</v>
      </c>
      <c r="C300" s="1">
        <f t="shared" ref="C300:C309" si="442">IF(B300&lt;1,0.000001,C280*(1+AB280))</f>
        <v>3.6917186869322251E-2</v>
      </c>
      <c r="D300" s="1">
        <f t="shared" si="411"/>
        <v>0.88057614638780757</v>
      </c>
      <c r="E300" s="1">
        <f t="shared" ref="E300:E309" si="443">R300</f>
        <v>72.969069063986353</v>
      </c>
      <c r="F300" s="1">
        <f t="shared" ref="F300:F309" si="444">F280</f>
        <v>20</v>
      </c>
      <c r="G300" s="1">
        <f t="shared" ref="G300:G309" si="445">(E300-F300)*C300*(1-D300)*4200</f>
        <v>980.82451361423955</v>
      </c>
      <c r="H300" s="1">
        <f t="shared" ref="H300:H309" si="446">(E300-F300)*D300+F300</f>
        <v>66.643298714114735</v>
      </c>
      <c r="I300" s="1">
        <f t="shared" ref="I300:I309" si="447">B300*0.001*6/C300</f>
        <v>162.52592650784911</v>
      </c>
      <c r="J300" s="3">
        <f t="shared" ref="J300:J309" si="448">J280</f>
        <v>10</v>
      </c>
      <c r="K300" s="47">
        <f t="shared" ref="K300:K309" si="449">K299+C300</f>
        <v>3.6917186869322251E-2</v>
      </c>
      <c r="L300" s="3">
        <f t="shared" ref="L300:L309" si="450">L280</f>
        <v>3</v>
      </c>
      <c r="M300" s="47">
        <f t="shared" ref="M300:M309" si="451">K300/(J300*J300*3.14/4000)</f>
        <v>0.47028263527799047</v>
      </c>
      <c r="N300" s="47">
        <f t="shared" ref="N300:N309" si="452">L300*26400/J300^1.27*M300^1.83*$N$69</f>
        <v>1336.7557490167294</v>
      </c>
      <c r="O300" s="1">
        <f t="shared" ref="O300:O309" si="453">EXP(-(J300+2)*3.14/1000*$O$66/(M300*J300*J300*3.14/4000*4200)*L300)</f>
        <v>0.99273606215332733</v>
      </c>
      <c r="P300" s="1">
        <f t="shared" ref="P300:P309" si="454">L300/M300</f>
        <v>6.3791426154330768</v>
      </c>
      <c r="Q300" s="1">
        <f t="shared" ref="Q300:Q309" si="455">R301</f>
        <v>73.356648441975636</v>
      </c>
      <c r="R300" s="1">
        <f t="shared" ref="R300:R309" si="456">(Q300-F300)*O300+F300</f>
        <v>72.969069063986353</v>
      </c>
      <c r="S300" s="47">
        <f t="shared" ref="S300:S309" si="457">K300*(1-O300)*4200*(Q300-F300)</f>
        <v>60.095029360488212</v>
      </c>
      <c r="T300" s="1">
        <f t="shared" ref="T300:T309" si="458">(U299*K299+H300*C300)/K300</f>
        <v>66.643298714114735</v>
      </c>
      <c r="U300" s="47">
        <f t="shared" ref="U300:U309" si="459">(T300-F300)*O300+F300</f>
        <v>66.30448469129162</v>
      </c>
      <c r="V300" s="47">
        <f t="shared" ref="V300:V309" si="460">K300*(1-O300)*4200*(T300-F300)</f>
        <v>52.533854496932854</v>
      </c>
      <c r="W300" s="2">
        <f t="shared" si="412"/>
        <v>980.83451361423954</v>
      </c>
      <c r="X300" s="1">
        <f t="shared" ref="X300:X309" si="461">C300*3600</f>
        <v>132.9018727295601</v>
      </c>
      <c r="Y300" s="1">
        <f t="shared" ref="Y300:Y309" si="462">Y301-2*N300/1000</f>
        <v>5.9999999999999947</v>
      </c>
      <c r="Z300" s="2">
        <f t="shared" ref="Z300:Z309" si="463">-1.1-1.8*LOG10(Y300/X300/X300)</f>
        <v>5.1440397116843268</v>
      </c>
      <c r="AA300" s="3">
        <f t="shared" ref="AA300:AA309" si="464">AA280</f>
        <v>1000</v>
      </c>
      <c r="AB300" s="1">
        <f t="shared" ref="AB300" si="465">((AA300/W300)-1)*AB$23+AC300+AD300</f>
        <v>1.95399795987381E-2</v>
      </c>
      <c r="AC300" s="1">
        <f>((N312/N311)-1)*AB$24</f>
        <v>0</v>
      </c>
      <c r="AD300" s="64">
        <f t="shared" ref="AD300" si="466">(AC$21-(X300/1000/SQRT(Y300/104))*1000/B300)*AB$21</f>
        <v>0</v>
      </c>
      <c r="AE300" s="1">
        <f t="shared" ref="AE300:AE310" si="467">AE301</f>
        <v>15.735112414152681</v>
      </c>
    </row>
    <row r="301" spans="1:31" ht="13.5" customHeight="1">
      <c r="A301" s="1">
        <v>2</v>
      </c>
      <c r="B301" s="3">
        <f t="shared" si="441"/>
        <v>1000</v>
      </c>
      <c r="C301" s="1">
        <f t="shared" si="442"/>
        <v>3.3935945106074845E-2</v>
      </c>
      <c r="D301" s="1">
        <f t="shared" si="411"/>
        <v>0.87046548109951538</v>
      </c>
      <c r="E301" s="1">
        <f t="shared" si="443"/>
        <v>73.356648441975636</v>
      </c>
      <c r="F301" s="1">
        <f t="shared" si="444"/>
        <v>20</v>
      </c>
      <c r="G301" s="1">
        <f t="shared" si="445"/>
        <v>985.10675569868067</v>
      </c>
      <c r="H301" s="1">
        <f t="shared" si="446"/>
        <v>66.445120655902031</v>
      </c>
      <c r="I301" s="1">
        <f t="shared" si="447"/>
        <v>176.80368061786925</v>
      </c>
      <c r="J301" s="3">
        <f t="shared" si="448"/>
        <v>14.142135623730951</v>
      </c>
      <c r="K301" s="47">
        <f t="shared" si="449"/>
        <v>7.0853131975397096E-2</v>
      </c>
      <c r="L301" s="3">
        <f t="shared" si="450"/>
        <v>3</v>
      </c>
      <c r="M301" s="47">
        <f t="shared" si="451"/>
        <v>0.45129383423819797</v>
      </c>
      <c r="N301" s="47">
        <f t="shared" si="452"/>
        <v>798.25537119459841</v>
      </c>
      <c r="O301" s="1">
        <f t="shared" si="453"/>
        <v>0.99490323691929439</v>
      </c>
      <c r="P301" s="1">
        <f t="shared" si="454"/>
        <v>6.6475537053682991</v>
      </c>
      <c r="Q301" s="1">
        <f t="shared" si="455"/>
        <v>73.629987783730442</v>
      </c>
      <c r="R301" s="1">
        <f t="shared" si="456"/>
        <v>73.356648441975636</v>
      </c>
      <c r="S301" s="47">
        <f t="shared" si="457"/>
        <v>81.341183512771352</v>
      </c>
      <c r="T301" s="1">
        <f t="shared" si="458"/>
        <v>66.371843948982814</v>
      </c>
      <c r="U301" s="47">
        <f t="shared" si="459"/>
        <v>66.135497646759404</v>
      </c>
      <c r="V301" s="47">
        <f t="shared" si="460"/>
        <v>70.332678121998157</v>
      </c>
      <c r="W301" s="2">
        <f t="shared" si="412"/>
        <v>985.11675569868066</v>
      </c>
      <c r="X301" s="1">
        <f t="shared" si="461"/>
        <v>122.16940238186945</v>
      </c>
      <c r="Y301" s="1">
        <f t="shared" si="462"/>
        <v>8.673511498033454</v>
      </c>
      <c r="Z301" s="2">
        <f t="shared" si="463"/>
        <v>4.724313892589544</v>
      </c>
      <c r="AA301" s="3">
        <f t="shared" si="464"/>
        <v>1000</v>
      </c>
      <c r="AB301" s="1">
        <f t="shared" si="381"/>
        <v>1.5108101872415736E-2</v>
      </c>
      <c r="AC301" s="1">
        <f t="shared" ref="AC301:AC309" si="468">AC300</f>
        <v>0</v>
      </c>
      <c r="AD301" s="64">
        <f t="shared" si="382"/>
        <v>0</v>
      </c>
      <c r="AE301" s="1">
        <f t="shared" si="467"/>
        <v>15.735112414152681</v>
      </c>
    </row>
    <row r="302" spans="1:31" ht="13.5" customHeight="1">
      <c r="A302" s="1">
        <v>3</v>
      </c>
      <c r="B302" s="3">
        <f t="shared" si="441"/>
        <v>1000</v>
      </c>
      <c r="C302" s="1">
        <f t="shared" si="442"/>
        <v>3.2054213342177097E-2</v>
      </c>
      <c r="D302" s="1">
        <f t="shared" si="411"/>
        <v>0.86316305846636765</v>
      </c>
      <c r="E302" s="1">
        <f t="shared" si="443"/>
        <v>73.629987783730442</v>
      </c>
      <c r="F302" s="1">
        <f t="shared" si="444"/>
        <v>20</v>
      </c>
      <c r="G302" s="1">
        <f t="shared" si="445"/>
        <v>987.97389660581621</v>
      </c>
      <c r="H302" s="1">
        <f t="shared" si="446"/>
        <v>66.291424280918704</v>
      </c>
      <c r="I302" s="1">
        <f t="shared" si="447"/>
        <v>187.18288095079126</v>
      </c>
      <c r="J302" s="3">
        <f t="shared" si="448"/>
        <v>17.320508075688775</v>
      </c>
      <c r="K302" s="47">
        <f t="shared" si="449"/>
        <v>0.1029073453175742</v>
      </c>
      <c r="L302" s="3">
        <f t="shared" si="450"/>
        <v>3</v>
      </c>
      <c r="M302" s="47">
        <f t="shared" si="451"/>
        <v>0.43697386546740624</v>
      </c>
      <c r="N302" s="47">
        <f t="shared" si="452"/>
        <v>581.69682853093991</v>
      </c>
      <c r="O302" s="1">
        <f t="shared" si="453"/>
        <v>0.99579796448773006</v>
      </c>
      <c r="P302" s="1">
        <f t="shared" si="454"/>
        <v>6.8653991395825686</v>
      </c>
      <c r="Q302" s="1">
        <f t="shared" si="455"/>
        <v>73.856293843018051</v>
      </c>
      <c r="R302" s="1">
        <f t="shared" si="456"/>
        <v>73.629987783730442</v>
      </c>
      <c r="S302" s="47">
        <f t="shared" si="457"/>
        <v>97.811934320390549</v>
      </c>
      <c r="T302" s="1">
        <f t="shared" si="458"/>
        <v>66.184066634538127</v>
      </c>
      <c r="U302" s="47">
        <f t="shared" si="459"/>
        <v>65.989999546438753</v>
      </c>
      <c r="V302" s="47">
        <f t="shared" si="460"/>
        <v>83.87790116923567</v>
      </c>
      <c r="W302" s="2">
        <f t="shared" si="412"/>
        <v>987.9838966058162</v>
      </c>
      <c r="X302" s="1">
        <f t="shared" si="461"/>
        <v>115.39516803183756</v>
      </c>
      <c r="Y302" s="1">
        <f t="shared" si="462"/>
        <v>10.270022240422652</v>
      </c>
      <c r="Z302" s="2">
        <f t="shared" si="463"/>
        <v>4.5030469546332661</v>
      </c>
      <c r="AA302" s="3">
        <f t="shared" si="464"/>
        <v>1000</v>
      </c>
      <c r="AB302" s="1">
        <f t="shared" si="381"/>
        <v>1.2162246202053195E-2</v>
      </c>
      <c r="AC302" s="1">
        <f t="shared" si="468"/>
        <v>0</v>
      </c>
      <c r="AD302" s="64">
        <f t="shared" si="382"/>
        <v>0</v>
      </c>
      <c r="AE302" s="1">
        <f t="shared" si="467"/>
        <v>15.735112414152681</v>
      </c>
    </row>
    <row r="303" spans="1:31" ht="13.5" customHeight="1">
      <c r="A303" s="1">
        <v>4</v>
      </c>
      <c r="B303" s="3">
        <f t="shared" si="441"/>
        <v>1000</v>
      </c>
      <c r="C303" s="1">
        <f t="shared" si="442"/>
        <v>3.0619130434956284E-2</v>
      </c>
      <c r="D303" s="1">
        <f t="shared" si="411"/>
        <v>0.85702202910453984</v>
      </c>
      <c r="E303" s="1">
        <f t="shared" si="443"/>
        <v>73.856293843018051</v>
      </c>
      <c r="F303" s="1">
        <f t="shared" si="444"/>
        <v>20</v>
      </c>
      <c r="G303" s="1">
        <f t="shared" si="445"/>
        <v>990.25657907027414</v>
      </c>
      <c r="H303" s="1">
        <f t="shared" si="446"/>
        <v>66.156030229393664</v>
      </c>
      <c r="I303" s="1">
        <f t="shared" si="447"/>
        <v>195.95592411566687</v>
      </c>
      <c r="J303" s="3">
        <f t="shared" si="448"/>
        <v>20</v>
      </c>
      <c r="K303" s="47">
        <f t="shared" si="449"/>
        <v>0.13352647575253049</v>
      </c>
      <c r="L303" s="3">
        <f t="shared" si="450"/>
        <v>3</v>
      </c>
      <c r="M303" s="47">
        <f t="shared" si="451"/>
        <v>0.42524355335200792</v>
      </c>
      <c r="N303" s="47">
        <f t="shared" si="452"/>
        <v>461.03528122133059</v>
      </c>
      <c r="O303" s="1">
        <f t="shared" si="453"/>
        <v>0.99631145814183941</v>
      </c>
      <c r="P303" s="1">
        <f t="shared" si="454"/>
        <v>7.0547806694594648</v>
      </c>
      <c r="Q303" s="1">
        <f t="shared" si="455"/>
        <v>74.055680483151519</v>
      </c>
      <c r="R303" s="1">
        <f t="shared" si="456"/>
        <v>73.856293843018051</v>
      </c>
      <c r="S303" s="47">
        <f t="shared" si="457"/>
        <v>111.81826055046695</v>
      </c>
      <c r="T303" s="1">
        <f t="shared" si="458"/>
        <v>66.028072259052109</v>
      </c>
      <c r="U303" s="47">
        <f t="shared" si="459"/>
        <v>65.858295787874155</v>
      </c>
      <c r="V303" s="47">
        <f t="shared" si="460"/>
        <v>95.212546220791637</v>
      </c>
      <c r="W303" s="2">
        <f t="shared" si="412"/>
        <v>990.26657907027413</v>
      </c>
      <c r="X303" s="1">
        <f t="shared" si="461"/>
        <v>110.22886956584263</v>
      </c>
      <c r="Y303" s="1">
        <f t="shared" si="462"/>
        <v>11.433415897484531</v>
      </c>
      <c r="Z303" s="2">
        <f t="shared" si="463"/>
        <v>4.3475464702503448</v>
      </c>
      <c r="AA303" s="3">
        <f t="shared" si="464"/>
        <v>1000</v>
      </c>
      <c r="AB303" s="1">
        <f t="shared" si="381"/>
        <v>9.8290916157790509E-3</v>
      </c>
      <c r="AC303" s="1">
        <f t="shared" si="468"/>
        <v>0</v>
      </c>
      <c r="AD303" s="64">
        <f t="shared" si="382"/>
        <v>0</v>
      </c>
      <c r="AE303" s="1">
        <f t="shared" si="467"/>
        <v>15.735112414152681</v>
      </c>
    </row>
    <row r="304" spans="1:31" ht="13.5" customHeight="1">
      <c r="A304" s="1">
        <v>5</v>
      </c>
      <c r="B304" s="3">
        <f t="shared" si="441"/>
        <v>1000</v>
      </c>
      <c r="C304" s="1">
        <f t="shared" si="442"/>
        <v>2.9438473391660738E-2</v>
      </c>
      <c r="D304" s="1">
        <f t="shared" si="411"/>
        <v>0.85154536901957989</v>
      </c>
      <c r="E304" s="1">
        <f t="shared" si="443"/>
        <v>74.055680483151519</v>
      </c>
      <c r="F304" s="1">
        <f t="shared" si="444"/>
        <v>20</v>
      </c>
      <c r="G304" s="1">
        <f t="shared" si="445"/>
        <v>992.20100779507447</v>
      </c>
      <c r="H304" s="1">
        <f t="shared" si="446"/>
        <v>66.030864384629766</v>
      </c>
      <c r="I304" s="1">
        <f t="shared" si="447"/>
        <v>203.81491662878366</v>
      </c>
      <c r="J304" s="3">
        <f t="shared" si="448"/>
        <v>22.360679774997898</v>
      </c>
      <c r="K304" s="47">
        <f t="shared" si="449"/>
        <v>0.16296494914419124</v>
      </c>
      <c r="L304" s="3">
        <f t="shared" si="450"/>
        <v>3</v>
      </c>
      <c r="M304" s="47">
        <f t="shared" si="451"/>
        <v>0.41519732266035975</v>
      </c>
      <c r="N304" s="47">
        <f t="shared" si="452"/>
        <v>382.9967229656927</v>
      </c>
      <c r="O304" s="1">
        <f t="shared" si="453"/>
        <v>0.9966528977464737</v>
      </c>
      <c r="P304" s="1">
        <f t="shared" si="454"/>
        <v>7.2254801181703767</v>
      </c>
      <c r="Q304" s="1">
        <f t="shared" si="455"/>
        <v>74.237217997736735</v>
      </c>
      <c r="R304" s="1">
        <f t="shared" si="456"/>
        <v>74.055680483151519</v>
      </c>
      <c r="S304" s="47">
        <f t="shared" si="457"/>
        <v>124.25385769500296</v>
      </c>
      <c r="T304" s="1">
        <f t="shared" si="458"/>
        <v>65.889469092750474</v>
      </c>
      <c r="U304" s="47">
        <f t="shared" si="459"/>
        <v>65.735872347336993</v>
      </c>
      <c r="V304" s="47">
        <f t="shared" si="460"/>
        <v>105.12972038108205</v>
      </c>
      <c r="W304" s="2">
        <f t="shared" si="412"/>
        <v>992.21100779507447</v>
      </c>
      <c r="X304" s="1">
        <f t="shared" si="461"/>
        <v>105.97850420997865</v>
      </c>
      <c r="Y304" s="1">
        <f t="shared" si="462"/>
        <v>12.355486459927192</v>
      </c>
      <c r="Z304" s="2">
        <f t="shared" si="463"/>
        <v>4.2254362995898038</v>
      </c>
      <c r="AA304" s="3">
        <f t="shared" si="464"/>
        <v>1000</v>
      </c>
      <c r="AB304" s="1">
        <f t="shared" si="381"/>
        <v>7.8501368597336807E-3</v>
      </c>
      <c r="AC304" s="1">
        <f t="shared" si="468"/>
        <v>0</v>
      </c>
      <c r="AD304" s="64">
        <f t="shared" si="382"/>
        <v>0</v>
      </c>
      <c r="AE304" s="1">
        <f t="shared" si="467"/>
        <v>15.735112414152681</v>
      </c>
    </row>
    <row r="305" spans="1:31" ht="13.5" customHeight="1">
      <c r="A305" s="1">
        <v>6</v>
      </c>
      <c r="B305" s="3">
        <f t="shared" si="441"/>
        <v>1000</v>
      </c>
      <c r="C305" s="1">
        <f t="shared" si="442"/>
        <v>2.8426219717972347E-2</v>
      </c>
      <c r="D305" s="1">
        <f t="shared" si="411"/>
        <v>0.84650835841294081</v>
      </c>
      <c r="E305" s="1">
        <f t="shared" si="443"/>
        <v>74.237217997736735</v>
      </c>
      <c r="F305" s="1">
        <f t="shared" si="444"/>
        <v>20</v>
      </c>
      <c r="G305" s="1">
        <f t="shared" si="445"/>
        <v>993.9179521328723</v>
      </c>
      <c r="H305" s="1">
        <f t="shared" si="446"/>
        <v>65.912258372148926</v>
      </c>
      <c r="I305" s="1">
        <f t="shared" si="447"/>
        <v>211.07273705502698</v>
      </c>
      <c r="J305" s="3">
        <f t="shared" si="448"/>
        <v>24.494897427831781</v>
      </c>
      <c r="K305" s="47">
        <f t="shared" si="449"/>
        <v>0.19139116886216359</v>
      </c>
      <c r="L305" s="3">
        <f t="shared" si="450"/>
        <v>3</v>
      </c>
      <c r="M305" s="47">
        <f t="shared" si="451"/>
        <v>0.40635067698973165</v>
      </c>
      <c r="N305" s="47">
        <f t="shared" si="452"/>
        <v>327.94269246251326</v>
      </c>
      <c r="O305" s="1">
        <f t="shared" si="453"/>
        <v>0.99689995553638777</v>
      </c>
      <c r="P305" s="1">
        <f t="shared" si="454"/>
        <v>7.3827857805582271</v>
      </c>
      <c r="Q305" s="1">
        <f t="shared" si="455"/>
        <v>74.405878640604499</v>
      </c>
      <c r="R305" s="1">
        <f t="shared" si="456"/>
        <v>74.237217997736735</v>
      </c>
      <c r="S305" s="47">
        <f t="shared" si="457"/>
        <v>135.57666183392283</v>
      </c>
      <c r="T305" s="1">
        <f t="shared" si="458"/>
        <v>65.762069940080124</v>
      </c>
      <c r="U305" s="47">
        <f t="shared" si="459"/>
        <v>65.620205488518934</v>
      </c>
      <c r="V305" s="47">
        <f t="shared" si="460"/>
        <v>114.03673345799371</v>
      </c>
      <c r="W305" s="2">
        <f t="shared" si="412"/>
        <v>993.92795213287229</v>
      </c>
      <c r="X305" s="1">
        <f t="shared" si="461"/>
        <v>102.33439098470045</v>
      </c>
      <c r="Y305" s="1">
        <f t="shared" si="462"/>
        <v>13.121479905858578</v>
      </c>
      <c r="Z305" s="2">
        <f t="shared" si="463"/>
        <v>4.1237087181053838</v>
      </c>
      <c r="AA305" s="3">
        <f t="shared" si="464"/>
        <v>1000</v>
      </c>
      <c r="AB305" s="1">
        <f t="shared" si="381"/>
        <v>6.1091428750923438E-3</v>
      </c>
      <c r="AC305" s="1">
        <f t="shared" si="468"/>
        <v>0</v>
      </c>
      <c r="AD305" s="64">
        <f t="shared" si="382"/>
        <v>0</v>
      </c>
      <c r="AE305" s="1">
        <f t="shared" si="467"/>
        <v>15.735112414152681</v>
      </c>
    </row>
    <row r="306" spans="1:31" ht="13.5" customHeight="1">
      <c r="A306" s="1">
        <v>7</v>
      </c>
      <c r="B306" s="3">
        <f t="shared" si="441"/>
        <v>1000</v>
      </c>
      <c r="C306" s="1">
        <f t="shared" si="442"/>
        <v>2.7535444005278954E-2</v>
      </c>
      <c r="D306" s="1">
        <f t="shared" si="411"/>
        <v>0.84178772938889346</v>
      </c>
      <c r="E306" s="1">
        <f t="shared" si="443"/>
        <v>74.405878640604499</v>
      </c>
      <c r="F306" s="1">
        <f t="shared" si="444"/>
        <v>20</v>
      </c>
      <c r="G306" s="1">
        <f t="shared" si="445"/>
        <v>995.46814253861953</v>
      </c>
      <c r="H306" s="1">
        <f t="shared" si="446"/>
        <v>65.798201046282159</v>
      </c>
      <c r="I306" s="1">
        <f t="shared" si="447"/>
        <v>217.90097152055043</v>
      </c>
      <c r="J306" s="3">
        <f t="shared" si="448"/>
        <v>26.457513110645905</v>
      </c>
      <c r="K306" s="47">
        <f t="shared" si="449"/>
        <v>0.21892661286744255</v>
      </c>
      <c r="L306" s="3">
        <f t="shared" si="450"/>
        <v>3</v>
      </c>
      <c r="M306" s="47">
        <f t="shared" si="451"/>
        <v>0.39841057846668343</v>
      </c>
      <c r="N306" s="47">
        <f t="shared" si="452"/>
        <v>286.81602664675489</v>
      </c>
      <c r="O306" s="1">
        <f t="shared" si="453"/>
        <v>0.99708883327118336</v>
      </c>
      <c r="P306" s="1">
        <f t="shared" si="454"/>
        <v>7.5299205446445523</v>
      </c>
      <c r="Q306" s="1">
        <f t="shared" si="455"/>
        <v>74.564725654496868</v>
      </c>
      <c r="R306" s="1">
        <f t="shared" si="456"/>
        <v>74.405878640604499</v>
      </c>
      <c r="S306" s="47">
        <f t="shared" si="457"/>
        <v>146.0585226053777</v>
      </c>
      <c r="T306" s="1">
        <f t="shared" si="458"/>
        <v>65.64259283855273</v>
      </c>
      <c r="U306" s="47">
        <f t="shared" si="459"/>
        <v>65.509719640864205</v>
      </c>
      <c r="V306" s="47">
        <f t="shared" si="460"/>
        <v>122.17581226541722</v>
      </c>
      <c r="W306" s="2">
        <f t="shared" si="412"/>
        <v>995.47814253861952</v>
      </c>
      <c r="X306" s="1">
        <f t="shared" si="461"/>
        <v>99.127598419004229</v>
      </c>
      <c r="Y306" s="1">
        <f t="shared" si="462"/>
        <v>13.777365290783605</v>
      </c>
      <c r="Z306" s="2">
        <f t="shared" si="463"/>
        <v>4.0358013924203497</v>
      </c>
      <c r="AA306" s="3">
        <f t="shared" si="464"/>
        <v>1000</v>
      </c>
      <c r="AB306" s="1">
        <f t="shared" si="381"/>
        <v>4.5423975355691759E-3</v>
      </c>
      <c r="AC306" s="1">
        <f t="shared" si="468"/>
        <v>0</v>
      </c>
      <c r="AD306" s="64">
        <f t="shared" si="382"/>
        <v>0</v>
      </c>
      <c r="AE306" s="1">
        <f t="shared" si="467"/>
        <v>15.735112414152681</v>
      </c>
    </row>
    <row r="307" spans="1:31" ht="13.5" customHeight="1">
      <c r="A307" s="1">
        <v>8</v>
      </c>
      <c r="B307" s="3">
        <f t="shared" si="441"/>
        <v>1000</v>
      </c>
      <c r="C307" s="1">
        <f t="shared" si="442"/>
        <v>2.6737340911469374E-2</v>
      </c>
      <c r="D307" s="1">
        <f t="shared" si="411"/>
        <v>0.83730757135255129</v>
      </c>
      <c r="E307" s="1">
        <f t="shared" si="443"/>
        <v>74.564725654496868</v>
      </c>
      <c r="F307" s="1">
        <f t="shared" si="444"/>
        <v>20</v>
      </c>
      <c r="G307" s="1">
        <f t="shared" si="445"/>
        <v>996.8890419547364</v>
      </c>
      <c r="H307" s="1">
        <f t="shared" si="446"/>
        <v>65.687457919285023</v>
      </c>
      <c r="I307" s="1">
        <f t="shared" si="447"/>
        <v>224.40526228343867</v>
      </c>
      <c r="J307" s="3">
        <f t="shared" si="448"/>
        <v>28.284271247461902</v>
      </c>
      <c r="K307" s="47">
        <f t="shared" si="449"/>
        <v>0.24566395377891193</v>
      </c>
      <c r="L307" s="3">
        <f t="shared" si="450"/>
        <v>3</v>
      </c>
      <c r="M307" s="47">
        <f t="shared" si="451"/>
        <v>0.39118463977533741</v>
      </c>
      <c r="N307" s="47">
        <f t="shared" si="452"/>
        <v>254.81895767842434</v>
      </c>
      <c r="O307" s="1">
        <f t="shared" si="453"/>
        <v>0.99723893231289273</v>
      </c>
      <c r="P307" s="1">
        <f t="shared" si="454"/>
        <v>7.6690127754580049</v>
      </c>
      <c r="Q307" s="1">
        <f t="shared" si="455"/>
        <v>74.715799680970235</v>
      </c>
      <c r="R307" s="1">
        <f t="shared" si="456"/>
        <v>74.564725654496868</v>
      </c>
      <c r="S307" s="47">
        <f t="shared" si="457"/>
        <v>155.87645915833264</v>
      </c>
      <c r="T307" s="1">
        <f t="shared" si="458"/>
        <v>65.529064151404128</v>
      </c>
      <c r="U307" s="47">
        <f t="shared" si="459"/>
        <v>65.403355323551452</v>
      </c>
      <c r="V307" s="47">
        <f t="shared" si="460"/>
        <v>129.70493623584392</v>
      </c>
      <c r="W307" s="2">
        <f t="shared" si="412"/>
        <v>996.89904195473639</v>
      </c>
      <c r="X307" s="1">
        <f t="shared" si="461"/>
        <v>96.25442728128975</v>
      </c>
      <c r="Y307" s="1">
        <f t="shared" si="462"/>
        <v>14.350997344077115</v>
      </c>
      <c r="Z307" s="2">
        <f t="shared" si="463"/>
        <v>3.9579268200925521</v>
      </c>
      <c r="AA307" s="3">
        <f t="shared" si="464"/>
        <v>1000</v>
      </c>
      <c r="AB307" s="1">
        <f t="shared" si="381"/>
        <v>3.1106038974451078E-3</v>
      </c>
      <c r="AC307" s="1">
        <f t="shared" si="468"/>
        <v>0</v>
      </c>
      <c r="AD307" s="64">
        <f t="shared" si="382"/>
        <v>0</v>
      </c>
      <c r="AE307" s="1">
        <f t="shared" si="467"/>
        <v>15.735112414152681</v>
      </c>
    </row>
    <row r="308" spans="1:31" ht="13.5" customHeight="1">
      <c r="A308" s="1">
        <v>9</v>
      </c>
      <c r="B308" s="3">
        <f t="shared" si="441"/>
        <v>1000</v>
      </c>
      <c r="C308" s="1">
        <f t="shared" si="442"/>
        <v>2.6012775221826673E-2</v>
      </c>
      <c r="D308" s="1">
        <f t="shared" si="411"/>
        <v>0.83301736989304165</v>
      </c>
      <c r="E308" s="1">
        <f t="shared" si="443"/>
        <v>74.715799680970235</v>
      </c>
      <c r="F308" s="1">
        <f t="shared" si="444"/>
        <v>20</v>
      </c>
      <c r="G308" s="1">
        <f t="shared" si="445"/>
        <v>998.20565694232869</v>
      </c>
      <c r="H308" s="1">
        <f t="shared" si="446"/>
        <v>65.579211541836344</v>
      </c>
      <c r="I308" s="1">
        <f t="shared" si="447"/>
        <v>230.65589691351153</v>
      </c>
      <c r="J308" s="3">
        <f t="shared" si="448"/>
        <v>30</v>
      </c>
      <c r="K308" s="47">
        <f t="shared" si="449"/>
        <v>0.27167672900073858</v>
      </c>
      <c r="L308" s="3">
        <f t="shared" si="450"/>
        <v>3</v>
      </c>
      <c r="M308" s="47">
        <f t="shared" si="451"/>
        <v>0.38453889455164697</v>
      </c>
      <c r="N308" s="47">
        <f t="shared" si="452"/>
        <v>229.15635284405127</v>
      </c>
      <c r="O308" s="1">
        <f t="shared" si="453"/>
        <v>0.99736169124406104</v>
      </c>
      <c r="P308" s="1">
        <f t="shared" si="454"/>
        <v>7.801551527051247</v>
      </c>
      <c r="Q308" s="1">
        <f t="shared" si="455"/>
        <v>74.860538720632405</v>
      </c>
      <c r="R308" s="1">
        <f t="shared" si="456"/>
        <v>74.715799680970235</v>
      </c>
      <c r="S308" s="47">
        <f t="shared" si="457"/>
        <v>165.15336118733433</v>
      </c>
      <c r="T308" s="1">
        <f t="shared" si="458"/>
        <v>65.420193380658631</v>
      </c>
      <c r="U308" s="47">
        <f t="shared" si="459"/>
        <v>65.300360886766001</v>
      </c>
      <c r="V308" s="47">
        <f t="shared" si="460"/>
        <v>136.73393986875556</v>
      </c>
      <c r="W308" s="2">
        <f t="shared" si="412"/>
        <v>998.21565694232868</v>
      </c>
      <c r="X308" s="1">
        <f t="shared" si="461"/>
        <v>93.645990798576022</v>
      </c>
      <c r="Y308" s="1">
        <f t="shared" si="462"/>
        <v>14.860635259433964</v>
      </c>
      <c r="Z308" s="2">
        <f t="shared" si="463"/>
        <v>3.8876938053319319</v>
      </c>
      <c r="AA308" s="3">
        <f t="shared" si="464"/>
        <v>1000</v>
      </c>
      <c r="AB308" s="1">
        <f t="shared" si="381"/>
        <v>1.7875326291083571E-3</v>
      </c>
      <c r="AC308" s="1">
        <f t="shared" si="468"/>
        <v>0</v>
      </c>
      <c r="AD308" s="64">
        <f t="shared" si="382"/>
        <v>0</v>
      </c>
      <c r="AE308" s="1">
        <f t="shared" si="467"/>
        <v>15.735112414152681</v>
      </c>
    </row>
    <row r="309" spans="1:31" ht="13.5" customHeight="1">
      <c r="A309" s="1">
        <v>10</v>
      </c>
      <c r="B309" s="3">
        <f t="shared" si="441"/>
        <v>1000</v>
      </c>
      <c r="C309" s="1">
        <f t="shared" si="442"/>
        <v>2.5348293788247003E-2</v>
      </c>
      <c r="D309" s="1">
        <f t="shared" si="411"/>
        <v>0.82888158558596847</v>
      </c>
      <c r="E309" s="1">
        <f t="shared" si="443"/>
        <v>74.860538720632405</v>
      </c>
      <c r="F309" s="1">
        <f t="shared" si="444"/>
        <v>20</v>
      </c>
      <c r="G309" s="1">
        <f t="shared" si="445"/>
        <v>999.43565239662166</v>
      </c>
      <c r="H309" s="1">
        <f t="shared" si="446"/>
        <v>65.472890320858198</v>
      </c>
      <c r="I309" s="1">
        <f t="shared" si="447"/>
        <v>236.70232206247988</v>
      </c>
      <c r="J309" s="3">
        <f t="shared" si="448"/>
        <v>31.622776601683793</v>
      </c>
      <c r="K309" s="47">
        <f t="shared" si="449"/>
        <v>0.29702502278898557</v>
      </c>
      <c r="L309" s="3">
        <f t="shared" si="450"/>
        <v>3</v>
      </c>
      <c r="M309" s="47">
        <f t="shared" si="451"/>
        <v>0.37837582520889879</v>
      </c>
      <c r="N309" s="47">
        <f t="shared" si="452"/>
        <v>208.08222451530685</v>
      </c>
      <c r="O309" s="1">
        <f t="shared" si="453"/>
        <v>0.99746434037513465</v>
      </c>
      <c r="P309" s="1">
        <f t="shared" si="454"/>
        <v>7.9286249282541235</v>
      </c>
      <c r="Q309" s="1">
        <f t="shared" si="455"/>
        <v>75</v>
      </c>
      <c r="R309" s="1">
        <f t="shared" si="456"/>
        <v>74.860538720632405</v>
      </c>
      <c r="S309" s="47">
        <f t="shared" si="457"/>
        <v>173.97865666583118</v>
      </c>
      <c r="T309" s="1">
        <f t="shared" si="458"/>
        <v>65.315084652263693</v>
      </c>
      <c r="U309" s="47">
        <f t="shared" si="459"/>
        <v>65.20018102171359</v>
      </c>
      <c r="V309" s="47">
        <f t="shared" si="460"/>
        <v>143.3428646272593</v>
      </c>
      <c r="W309" s="2">
        <f t="shared" si="412"/>
        <v>999.44565239662165</v>
      </c>
      <c r="X309" s="1">
        <f t="shared" si="461"/>
        <v>91.253857637689208</v>
      </c>
      <c r="Y309" s="1">
        <f t="shared" si="462"/>
        <v>15.318947965122067</v>
      </c>
      <c r="Z309" s="2">
        <f t="shared" si="463"/>
        <v>3.8234923441434137</v>
      </c>
      <c r="AA309" s="3">
        <f t="shared" si="464"/>
        <v>1000</v>
      </c>
      <c r="AB309" s="1">
        <f t="shared" si="381"/>
        <v>5.5465507508989376E-4</v>
      </c>
      <c r="AC309" s="1">
        <f t="shared" si="468"/>
        <v>0</v>
      </c>
      <c r="AD309" s="64">
        <f t="shared" si="382"/>
        <v>0</v>
      </c>
      <c r="AE309" s="1">
        <f t="shared" si="467"/>
        <v>15.735112414152681</v>
      </c>
    </row>
    <row r="310" spans="1:31" ht="13.5" customHeight="1">
      <c r="K310" s="47"/>
      <c r="L310" s="47"/>
      <c r="M310" s="47"/>
      <c r="N310" s="47">
        <f>SUM(N300:N309)</f>
        <v>4867.5562070763408</v>
      </c>
      <c r="O310" s="2" t="s">
        <v>46</v>
      </c>
      <c r="P310" s="2"/>
      <c r="Q310" s="2"/>
      <c r="R310" s="49">
        <f>R290</f>
        <v>75</v>
      </c>
      <c r="S310" s="50" t="s">
        <v>45</v>
      </c>
      <c r="T310" s="2"/>
      <c r="U310" s="11">
        <f>U309</f>
        <v>65.20018102171359</v>
      </c>
      <c r="V310" s="47"/>
      <c r="W310" s="2"/>
      <c r="Y310" s="1">
        <f>N311</f>
        <v>15.735112414152681</v>
      </c>
      <c r="AE310" s="1">
        <f t="shared" si="467"/>
        <v>15.735112414152681</v>
      </c>
    </row>
    <row r="311" spans="1:31" ht="13.5" customHeight="1">
      <c r="K311" s="47"/>
      <c r="L311" s="2" t="s">
        <v>44</v>
      </c>
      <c r="M311" s="2"/>
      <c r="N311" s="47">
        <f>N310*2/1000+Y311</f>
        <v>15.735112414152681</v>
      </c>
      <c r="O311" s="2" t="s">
        <v>1</v>
      </c>
      <c r="P311" s="1">
        <f>SUM(P300:P309)</f>
        <v>72.484251803979944</v>
      </c>
      <c r="Q311" s="1" t="s">
        <v>43</v>
      </c>
      <c r="S311" s="47"/>
      <c r="U311" s="47"/>
      <c r="V311" s="47"/>
      <c r="W311" s="2"/>
      <c r="Y311" s="3">
        <f>Y291</f>
        <v>6</v>
      </c>
      <c r="Z311" s="3" t="s">
        <v>42</v>
      </c>
      <c r="AE311" s="1">
        <f>N311</f>
        <v>15.735112414152681</v>
      </c>
    </row>
    <row r="312" spans="1:31" ht="13.5" customHeight="1">
      <c r="L312" s="60" t="s">
        <v>41</v>
      </c>
      <c r="N312" s="3">
        <f>N292</f>
        <v>15</v>
      </c>
      <c r="O312" s="1" t="s">
        <v>1</v>
      </c>
    </row>
    <row r="315" spans="1:31" ht="13.5" customHeight="1" thickBot="1"/>
    <row r="316" spans="1:31" ht="13.5" customHeight="1">
      <c r="B316" s="14" t="s">
        <v>40</v>
      </c>
      <c r="C316" s="15"/>
      <c r="D316" s="15"/>
      <c r="E316" s="15"/>
      <c r="F316" s="15"/>
      <c r="G316" s="15"/>
      <c r="H316" s="15" t="s">
        <v>39</v>
      </c>
      <c r="I316" s="16"/>
      <c r="J316" s="14" t="s">
        <v>38</v>
      </c>
      <c r="K316" s="15"/>
      <c r="L316" s="15"/>
      <c r="M316" s="15"/>
      <c r="N316" s="15" t="s">
        <v>37</v>
      </c>
      <c r="O316" s="15"/>
      <c r="P316" s="15"/>
      <c r="Q316" s="15"/>
      <c r="R316" s="15"/>
      <c r="S316" s="16"/>
      <c r="T316" s="14" t="s">
        <v>36</v>
      </c>
      <c r="U316" s="15"/>
      <c r="V316" s="16"/>
      <c r="W316" s="14"/>
      <c r="X316" s="15"/>
      <c r="Y316" s="15"/>
      <c r="Z316" s="16"/>
    </row>
    <row r="317" spans="1:31" ht="13.5" customHeight="1">
      <c r="B317" s="17" t="s">
        <v>35</v>
      </c>
      <c r="C317" s="18" t="s">
        <v>22</v>
      </c>
      <c r="D317" s="18"/>
      <c r="E317" s="18" t="s">
        <v>34</v>
      </c>
      <c r="F317" s="18" t="s">
        <v>33</v>
      </c>
      <c r="G317" s="18" t="s">
        <v>7</v>
      </c>
      <c r="H317" s="18" t="s">
        <v>32</v>
      </c>
      <c r="I317" s="19" t="s">
        <v>22</v>
      </c>
      <c r="J317" s="17" t="s">
        <v>31</v>
      </c>
      <c r="K317" s="18"/>
      <c r="L317" s="18" t="s">
        <v>30</v>
      </c>
      <c r="M317" s="18"/>
      <c r="N317" s="18" t="s">
        <v>29</v>
      </c>
      <c r="O317" s="18"/>
      <c r="P317" s="18" t="s">
        <v>28</v>
      </c>
      <c r="Q317" s="20" t="s">
        <v>27</v>
      </c>
      <c r="R317" s="21" t="s">
        <v>26</v>
      </c>
      <c r="S317" s="22" t="s">
        <v>7</v>
      </c>
      <c r="T317" s="23" t="s">
        <v>25</v>
      </c>
      <c r="U317" s="24" t="s">
        <v>24</v>
      </c>
      <c r="V317" s="25" t="s">
        <v>7</v>
      </c>
      <c r="W317" s="26" t="s">
        <v>23</v>
      </c>
      <c r="X317" s="4" t="s">
        <v>22</v>
      </c>
      <c r="Y317" s="4" t="s">
        <v>21</v>
      </c>
      <c r="Z317" s="5" t="s">
        <v>20</v>
      </c>
    </row>
    <row r="318" spans="1:31" ht="13.5" customHeight="1">
      <c r="B318" s="54" t="s">
        <v>3</v>
      </c>
      <c r="C318" s="28" t="s">
        <v>17</v>
      </c>
      <c r="D318" s="20" t="s">
        <v>13</v>
      </c>
      <c r="E318" s="20" t="s">
        <v>19</v>
      </c>
      <c r="F318" s="28" t="s">
        <v>19</v>
      </c>
      <c r="G318" s="20" t="s">
        <v>3</v>
      </c>
      <c r="H318" s="20" t="s">
        <v>19</v>
      </c>
      <c r="I318" s="29" t="s">
        <v>12</v>
      </c>
      <c r="J318" s="55" t="s">
        <v>18</v>
      </c>
      <c r="K318" s="20" t="s">
        <v>17</v>
      </c>
      <c r="L318" s="56" t="s">
        <v>16</v>
      </c>
      <c r="M318" s="20" t="s">
        <v>15</v>
      </c>
      <c r="N318" s="20" t="s">
        <v>14</v>
      </c>
      <c r="O318" s="20" t="s">
        <v>13</v>
      </c>
      <c r="P318" s="20" t="s">
        <v>12</v>
      </c>
      <c r="Q318" s="20" t="s">
        <v>11</v>
      </c>
      <c r="R318" s="21" t="s">
        <v>11</v>
      </c>
      <c r="S318" s="22" t="s">
        <v>10</v>
      </c>
      <c r="T318" s="23" t="s">
        <v>9</v>
      </c>
      <c r="U318" s="24" t="s">
        <v>9</v>
      </c>
      <c r="V318" s="33" t="s">
        <v>8</v>
      </c>
      <c r="W318" s="34" t="s">
        <v>7</v>
      </c>
      <c r="X318" s="4" t="s">
        <v>6</v>
      </c>
      <c r="Y318" s="6" t="s">
        <v>5</v>
      </c>
      <c r="Z318" s="7" t="s">
        <v>5</v>
      </c>
    </row>
    <row r="319" spans="1:31" ht="13.5" customHeight="1" thickBot="1">
      <c r="B319" s="57"/>
      <c r="C319" s="3">
        <f>C299</f>
        <v>1.05</v>
      </c>
      <c r="D319" s="37"/>
      <c r="E319" s="38"/>
      <c r="F319" s="38"/>
      <c r="G319" s="37"/>
      <c r="H319" s="37"/>
      <c r="I319" s="39"/>
      <c r="J319" s="58" t="s">
        <v>4</v>
      </c>
      <c r="K319" s="44"/>
      <c r="L319" s="59"/>
      <c r="M319" s="37"/>
      <c r="N319" s="37"/>
      <c r="O319" s="37"/>
      <c r="P319" s="37"/>
      <c r="Q319" s="42"/>
      <c r="R319" s="42"/>
      <c r="S319" s="52" t="s">
        <v>3</v>
      </c>
      <c r="T319" s="43"/>
      <c r="U319" s="44"/>
      <c r="V319" s="39" t="s">
        <v>3</v>
      </c>
      <c r="W319" s="45" t="s">
        <v>3</v>
      </c>
      <c r="X319" s="8" t="s">
        <v>2</v>
      </c>
      <c r="Y319" s="9" t="s">
        <v>1</v>
      </c>
      <c r="Z319" s="13" t="s">
        <v>0</v>
      </c>
    </row>
    <row r="320" spans="1:31" ht="13.5" customHeight="1">
      <c r="A320" s="1">
        <v>1</v>
      </c>
      <c r="B320" s="3">
        <f t="shared" ref="B320:B329" si="469">B300</f>
        <v>1000</v>
      </c>
      <c r="C320" s="1">
        <f t="shared" ref="C320:C329" si="470">IF(B320&lt;1,0.000001,C300*(1+AB300))</f>
        <v>3.7638547947591611E-2</v>
      </c>
      <c r="D320" s="1">
        <f t="shared" si="411"/>
        <v>0.88270329948789839</v>
      </c>
      <c r="E320" s="1">
        <f t="shared" ref="E320:E329" si="471">R320</f>
        <v>72.997349146734607</v>
      </c>
      <c r="F320" s="1">
        <f t="shared" ref="F320:F329" si="472">F300</f>
        <v>20</v>
      </c>
      <c r="G320" s="1">
        <f t="shared" ref="G320:G329" si="473">(E320-F320)*C320*(1-D320)*4200</f>
        <v>982.70257504653227</v>
      </c>
      <c r="H320" s="1">
        <f t="shared" ref="H320:H329" si="474">(E320-F320)*D320+F320</f>
        <v>66.780934955934796</v>
      </c>
      <c r="I320" s="1">
        <f t="shared" ref="I320:I329" si="475">B320*0.001*6/C320</f>
        <v>159.41103807602983</v>
      </c>
      <c r="J320" s="3">
        <f t="shared" ref="J320:J329" si="476">J300</f>
        <v>10</v>
      </c>
      <c r="K320" s="47">
        <f t="shared" ref="K320:K329" si="477">K319+C320</f>
        <v>3.7638547947591611E-2</v>
      </c>
      <c r="L320" s="3">
        <f t="shared" ref="L320:L329" si="478">L300</f>
        <v>3</v>
      </c>
      <c r="M320" s="47">
        <f t="shared" ref="M320:M329" si="479">K320/(J320*J320*3.14/4000)</f>
        <v>0.47947194837696316</v>
      </c>
      <c r="N320" s="47">
        <f t="shared" ref="N320:N329" si="480">L320*26400/J320^1.27*M320^1.83*$N$69</f>
        <v>1384.9428657789317</v>
      </c>
      <c r="O320" s="1">
        <f t="shared" ref="O320:O329" si="481">EXP(-(J320+2)*3.14/1000*$O$66/(M320*J320*J320*3.14/4000*4200)*L320)</f>
        <v>0.9928747818860969</v>
      </c>
      <c r="P320" s="1">
        <f t="shared" ref="P320:P329" si="482">L320/M320</f>
        <v>6.2568832444841709</v>
      </c>
      <c r="Q320" s="1">
        <f t="shared" ref="Q320:Q329" si="483">R321</f>
        <v>73.377676735891242</v>
      </c>
      <c r="R320" s="1">
        <f t="shared" ref="R320:R329" si="484">(Q320-F320)*O320+F320</f>
        <v>72.997349146734607</v>
      </c>
      <c r="S320" s="47">
        <f t="shared" ref="S320:S329" si="485">K320*(1-O320)*4200*(Q320-F320)</f>
        <v>60.122908441108706</v>
      </c>
      <c r="T320" s="1">
        <f t="shared" ref="T320:T329" si="486">(U319*K319+H320*C320)/K320</f>
        <v>66.780934955934796</v>
      </c>
      <c r="U320" s="47">
        <f t="shared" ref="U320:U329" si="487">(T320-F320)*O320+F320</f>
        <v>66.447610590801446</v>
      </c>
      <c r="V320" s="47">
        <f t="shared" ref="V320:V329" si="488">K320*(1-O320)*4200*(T320-F320)</f>
        <v>52.692549416522816</v>
      </c>
      <c r="W320" s="2">
        <f t="shared" si="412"/>
        <v>982.71257504653227</v>
      </c>
      <c r="X320" s="1">
        <f t="shared" ref="X320:X329" si="489">C320*3600</f>
        <v>135.4987726113298</v>
      </c>
      <c r="Y320" s="1">
        <f t="shared" ref="Y320:Y329" si="490">Y321-2*N320/1000</f>
        <v>6.0000000000000018</v>
      </c>
      <c r="Z320" s="2">
        <f t="shared" ref="Z320:Z329" si="491">-1.1-1.8*LOG10(Y320/X320/X320)</f>
        <v>5.1742950498385767</v>
      </c>
      <c r="AA320" s="3">
        <f t="shared" ref="AA320:AA329" si="492">AA300</f>
        <v>1000</v>
      </c>
      <c r="AB320" s="1">
        <f t="shared" ref="AB320:AB383" si="493">((AA320/W320)-1)*AB$23+AC320+AD320</f>
        <v>1.7591537334961993E-2</v>
      </c>
      <c r="AC320" s="1">
        <f>((N332/N331)-1)*AB$24</f>
        <v>0</v>
      </c>
      <c r="AD320" s="64">
        <f t="shared" ref="AD320:AD383" si="494">(AC$21-(X320/1000/SQRT(Y320/104))*1000/B320)*AB$21</f>
        <v>0</v>
      </c>
      <c r="AE320" s="1">
        <f t="shared" ref="AE320:AE330" si="495">AE321</f>
        <v>16.010555354117102</v>
      </c>
    </row>
    <row r="321" spans="1:31" ht="13.5" customHeight="1">
      <c r="A321" s="1">
        <v>2</v>
      </c>
      <c r="B321" s="3">
        <f t="shared" si="469"/>
        <v>1000</v>
      </c>
      <c r="C321" s="1">
        <f t="shared" si="470"/>
        <v>3.4448652821874134E-2</v>
      </c>
      <c r="D321" s="1">
        <f t="shared" si="411"/>
        <v>0.87224707923794365</v>
      </c>
      <c r="E321" s="1">
        <f t="shared" si="471"/>
        <v>73.377676735891242</v>
      </c>
      <c r="F321" s="1">
        <f t="shared" si="472"/>
        <v>20</v>
      </c>
      <c r="G321" s="1">
        <f t="shared" si="473"/>
        <v>986.62482388586864</v>
      </c>
      <c r="H321" s="1">
        <f t="shared" si="474"/>
        <v>66.558522629388278</v>
      </c>
      <c r="I321" s="1">
        <f t="shared" si="475"/>
        <v>174.17226824586106</v>
      </c>
      <c r="J321" s="3">
        <f t="shared" si="476"/>
        <v>14.142135623730951</v>
      </c>
      <c r="K321" s="47">
        <f t="shared" si="477"/>
        <v>7.2087200769465745E-2</v>
      </c>
      <c r="L321" s="3">
        <f t="shared" si="478"/>
        <v>3</v>
      </c>
      <c r="M321" s="47">
        <f t="shared" si="479"/>
        <v>0.45915414502844415</v>
      </c>
      <c r="N321" s="47">
        <f t="shared" si="480"/>
        <v>823.88238840772215</v>
      </c>
      <c r="O321" s="1">
        <f t="shared" si="481"/>
        <v>0.99499027004870289</v>
      </c>
      <c r="P321" s="1">
        <f t="shared" si="482"/>
        <v>6.5337534953847642</v>
      </c>
      <c r="Q321" s="1">
        <f t="shared" si="483"/>
        <v>73.646430867387778</v>
      </c>
      <c r="R321" s="1">
        <f t="shared" si="484"/>
        <v>73.377676735891242</v>
      </c>
      <c r="S321" s="47">
        <f t="shared" si="485"/>
        <v>81.369678746221595</v>
      </c>
      <c r="T321" s="1">
        <f t="shared" si="486"/>
        <v>66.500612653168432</v>
      </c>
      <c r="U321" s="47">
        <f t="shared" si="487"/>
        <v>66.267657141206186</v>
      </c>
      <c r="V321" s="47">
        <f t="shared" si="488"/>
        <v>70.531065196938883</v>
      </c>
      <c r="W321" s="2">
        <f t="shared" si="412"/>
        <v>986.63482388586863</v>
      </c>
      <c r="X321" s="1">
        <f t="shared" si="489"/>
        <v>124.01515015874688</v>
      </c>
      <c r="Y321" s="1">
        <f t="shared" si="490"/>
        <v>8.7698857315578653</v>
      </c>
      <c r="Z321" s="2">
        <f t="shared" si="491"/>
        <v>4.7391199939767983</v>
      </c>
      <c r="AA321" s="3">
        <f t="shared" si="492"/>
        <v>1000</v>
      </c>
      <c r="AB321" s="1">
        <f t="shared" si="493"/>
        <v>1.3546223780640965E-2</v>
      </c>
      <c r="AC321" s="1">
        <f t="shared" ref="AC321:AC329" si="496">AC320</f>
        <v>0</v>
      </c>
      <c r="AD321" s="64">
        <f t="shared" si="494"/>
        <v>0</v>
      </c>
      <c r="AE321" s="1">
        <f t="shared" si="495"/>
        <v>16.010555354117102</v>
      </c>
    </row>
    <row r="322" spans="1:31" ht="13.5" customHeight="1">
      <c r="A322" s="1">
        <v>3</v>
      </c>
      <c r="B322" s="3">
        <f t="shared" si="469"/>
        <v>1000</v>
      </c>
      <c r="C322" s="1">
        <f t="shared" si="470"/>
        <v>3.2444064576657793E-2</v>
      </c>
      <c r="D322" s="1">
        <f t="shared" si="411"/>
        <v>0.86467622647165865</v>
      </c>
      <c r="E322" s="1">
        <f t="shared" si="471"/>
        <v>73.646430867387778</v>
      </c>
      <c r="F322" s="1">
        <f t="shared" si="472"/>
        <v>20</v>
      </c>
      <c r="G322" s="1">
        <f t="shared" si="473"/>
        <v>989.2350157099736</v>
      </c>
      <c r="H322" s="1">
        <f t="shared" si="474"/>
        <v>66.386793406085573</v>
      </c>
      <c r="I322" s="1">
        <f t="shared" si="475"/>
        <v>184.93367209966536</v>
      </c>
      <c r="J322" s="3">
        <f t="shared" si="476"/>
        <v>17.320508075688775</v>
      </c>
      <c r="K322" s="47">
        <f t="shared" si="477"/>
        <v>0.10453126534612353</v>
      </c>
      <c r="L322" s="3">
        <f t="shared" si="478"/>
        <v>3</v>
      </c>
      <c r="M322" s="47">
        <f t="shared" si="479"/>
        <v>0.44386949191559871</v>
      </c>
      <c r="N322" s="47">
        <f t="shared" si="480"/>
        <v>598.605068362883</v>
      </c>
      <c r="O322" s="1">
        <f t="shared" si="481"/>
        <v>0.99586310897204355</v>
      </c>
      <c r="P322" s="1">
        <f t="shared" si="482"/>
        <v>6.7587434023747832</v>
      </c>
      <c r="Q322" s="1">
        <f t="shared" si="483"/>
        <v>73.869282217676528</v>
      </c>
      <c r="R322" s="1">
        <f t="shared" si="484"/>
        <v>73.646430867387778</v>
      </c>
      <c r="S322" s="47">
        <f t="shared" si="485"/>
        <v>97.838721245060341</v>
      </c>
      <c r="T322" s="1">
        <f t="shared" si="486"/>
        <v>66.304634256697611</v>
      </c>
      <c r="U322" s="47">
        <f t="shared" si="487"/>
        <v>66.113077030688274</v>
      </c>
      <c r="V322" s="47">
        <f t="shared" si="488"/>
        <v>84.099620727987343</v>
      </c>
      <c r="W322" s="2">
        <f t="shared" si="412"/>
        <v>989.24501570997359</v>
      </c>
      <c r="X322" s="1">
        <f t="shared" si="489"/>
        <v>116.79863247596805</v>
      </c>
      <c r="Y322" s="1">
        <f t="shared" si="490"/>
        <v>10.41765050837331</v>
      </c>
      <c r="Z322" s="2">
        <f t="shared" si="491"/>
        <v>4.5107903179878548</v>
      </c>
      <c r="AA322" s="3">
        <f t="shared" si="492"/>
        <v>1000</v>
      </c>
      <c r="AB322" s="1">
        <f t="shared" si="493"/>
        <v>1.0871911527709388E-2</v>
      </c>
      <c r="AC322" s="1">
        <f t="shared" si="496"/>
        <v>0</v>
      </c>
      <c r="AD322" s="64">
        <f t="shared" si="494"/>
        <v>0</v>
      </c>
      <c r="AE322" s="1">
        <f t="shared" si="495"/>
        <v>16.010555354117102</v>
      </c>
    </row>
    <row r="323" spans="1:31" ht="13.5" customHeight="1">
      <c r="A323" s="1">
        <v>4</v>
      </c>
      <c r="B323" s="3">
        <f t="shared" si="469"/>
        <v>1000</v>
      </c>
      <c r="C323" s="1">
        <f t="shared" si="470"/>
        <v>3.0920088673196958E-2</v>
      </c>
      <c r="D323" s="1">
        <f t="shared" si="411"/>
        <v>0.85829819743281721</v>
      </c>
      <c r="E323" s="1">
        <f t="shared" si="471"/>
        <v>73.869282217676528</v>
      </c>
      <c r="F323" s="1">
        <f t="shared" si="472"/>
        <v>20</v>
      </c>
      <c r="G323" s="1">
        <f t="shared" si="473"/>
        <v>991.30337508236141</v>
      </c>
      <c r="H323" s="1">
        <f t="shared" si="474"/>
        <v>66.235907824431479</v>
      </c>
      <c r="I323" s="1">
        <f t="shared" si="475"/>
        <v>194.04860262257569</v>
      </c>
      <c r="J323" s="3">
        <f t="shared" si="476"/>
        <v>20</v>
      </c>
      <c r="K323" s="47">
        <f t="shared" si="477"/>
        <v>0.13545135401932049</v>
      </c>
      <c r="L323" s="3">
        <f t="shared" si="478"/>
        <v>3</v>
      </c>
      <c r="M323" s="47">
        <f t="shared" si="479"/>
        <v>0.43137373891503339</v>
      </c>
      <c r="N323" s="47">
        <f t="shared" si="480"/>
        <v>473.27043595731493</v>
      </c>
      <c r="O323" s="1">
        <f t="shared" si="481"/>
        <v>0.99636378002339232</v>
      </c>
      <c r="P323" s="1">
        <f t="shared" si="482"/>
        <v>6.954526271222325</v>
      </c>
      <c r="Q323" s="1">
        <f t="shared" si="483"/>
        <v>74.06587764201123</v>
      </c>
      <c r="R323" s="1">
        <f t="shared" si="484"/>
        <v>73.869282217676528</v>
      </c>
      <c r="S323" s="47">
        <f t="shared" si="485"/>
        <v>111.84228896458396</v>
      </c>
      <c r="T323" s="1">
        <f t="shared" si="486"/>
        <v>66.141116167408882</v>
      </c>
      <c r="U323" s="47">
        <f t="shared" si="487"/>
        <v>65.973336919057971</v>
      </c>
      <c r="V323" s="47">
        <f t="shared" si="488"/>
        <v>95.448890734992077</v>
      </c>
      <c r="W323" s="2">
        <f t="shared" si="412"/>
        <v>991.3133750823614</v>
      </c>
      <c r="X323" s="1">
        <f t="shared" si="489"/>
        <v>111.31231922350905</v>
      </c>
      <c r="Y323" s="1">
        <f t="shared" si="490"/>
        <v>11.614860645099075</v>
      </c>
      <c r="Z323" s="2">
        <f t="shared" si="491"/>
        <v>4.3505304270574872</v>
      </c>
      <c r="AA323" s="3">
        <f t="shared" si="492"/>
        <v>1000</v>
      </c>
      <c r="AB323" s="1">
        <f t="shared" si="493"/>
        <v>8.7627435844057633E-3</v>
      </c>
      <c r="AC323" s="1">
        <f t="shared" si="496"/>
        <v>0</v>
      </c>
      <c r="AD323" s="64">
        <f t="shared" si="494"/>
        <v>0</v>
      </c>
      <c r="AE323" s="1">
        <f t="shared" si="495"/>
        <v>16.010555354117102</v>
      </c>
    </row>
    <row r="324" spans="1:31" ht="13.5" customHeight="1">
      <c r="A324" s="1">
        <v>5</v>
      </c>
      <c r="B324" s="3">
        <f t="shared" si="469"/>
        <v>1000</v>
      </c>
      <c r="C324" s="1">
        <f t="shared" si="470"/>
        <v>2.9669569436726904E-2</v>
      </c>
      <c r="D324" s="1">
        <f t="shared" si="411"/>
        <v>0.85260228375922853</v>
      </c>
      <c r="E324" s="1">
        <f t="shared" si="471"/>
        <v>74.06587764201123</v>
      </c>
      <c r="F324" s="1">
        <f t="shared" si="472"/>
        <v>20</v>
      </c>
      <c r="G324" s="1">
        <f t="shared" si="473"/>
        <v>993.05784402865481</v>
      </c>
      <c r="H324" s="1">
        <f t="shared" si="474"/>
        <v>66.09669075102579</v>
      </c>
      <c r="I324" s="1">
        <f t="shared" si="475"/>
        <v>202.2274038319145</v>
      </c>
      <c r="J324" s="3">
        <f t="shared" si="476"/>
        <v>22.360679774997898</v>
      </c>
      <c r="K324" s="47">
        <f t="shared" si="477"/>
        <v>0.1651209234560474</v>
      </c>
      <c r="L324" s="3">
        <f t="shared" si="478"/>
        <v>3</v>
      </c>
      <c r="M324" s="47">
        <f t="shared" si="479"/>
        <v>0.42069025084343276</v>
      </c>
      <c r="N324" s="47">
        <f t="shared" si="480"/>
        <v>392.32006562943309</v>
      </c>
      <c r="O324" s="1">
        <f t="shared" si="481"/>
        <v>0.99669652840046663</v>
      </c>
      <c r="P324" s="1">
        <f t="shared" si="482"/>
        <v>7.1311374437257937</v>
      </c>
      <c r="Q324" s="1">
        <f t="shared" si="483"/>
        <v>74.245074705716121</v>
      </c>
      <c r="R324" s="1">
        <f t="shared" si="484"/>
        <v>74.06587764201123</v>
      </c>
      <c r="S324" s="47">
        <f t="shared" si="485"/>
        <v>124.27457548617343</v>
      </c>
      <c r="T324" s="1">
        <f t="shared" si="486"/>
        <v>65.995501615125875</v>
      </c>
      <c r="U324" s="47">
        <f t="shared" si="487"/>
        <v>65.843556781834025</v>
      </c>
      <c r="V324" s="47">
        <f t="shared" si="488"/>
        <v>105.3749389876135</v>
      </c>
      <c r="W324" s="2">
        <f t="shared" si="412"/>
        <v>993.0678440286548</v>
      </c>
      <c r="X324" s="1">
        <f t="shared" si="489"/>
        <v>106.81044997221686</v>
      </c>
      <c r="Y324" s="1">
        <f t="shared" si="490"/>
        <v>12.561401517013705</v>
      </c>
      <c r="Z324" s="2">
        <f t="shared" si="491"/>
        <v>4.2247409048228857</v>
      </c>
      <c r="AA324" s="3">
        <f t="shared" si="492"/>
        <v>1000</v>
      </c>
      <c r="AB324" s="1">
        <f t="shared" si="493"/>
        <v>6.9805462064131962E-3</v>
      </c>
      <c r="AC324" s="1">
        <f t="shared" si="496"/>
        <v>0</v>
      </c>
      <c r="AD324" s="64">
        <f t="shared" si="494"/>
        <v>0</v>
      </c>
      <c r="AE324" s="1">
        <f t="shared" si="495"/>
        <v>16.010555354117102</v>
      </c>
    </row>
    <row r="325" spans="1:31" ht="13.5" customHeight="1">
      <c r="A325" s="1">
        <v>6</v>
      </c>
      <c r="B325" s="3">
        <f t="shared" si="469"/>
        <v>1000</v>
      </c>
      <c r="C325" s="1">
        <f t="shared" si="470"/>
        <v>2.8599879555628208E-2</v>
      </c>
      <c r="D325" s="1">
        <f t="shared" si="411"/>
        <v>0.84735764481179165</v>
      </c>
      <c r="E325" s="1">
        <f t="shared" si="471"/>
        <v>74.245074705716121</v>
      </c>
      <c r="F325" s="1">
        <f t="shared" si="472"/>
        <v>20</v>
      </c>
      <c r="G325" s="1">
        <f t="shared" si="473"/>
        <v>994.60093814613424</v>
      </c>
      <c r="H325" s="1">
        <f t="shared" si="474"/>
        <v>65.964978745275303</v>
      </c>
      <c r="I325" s="1">
        <f t="shared" si="475"/>
        <v>209.79109329218318</v>
      </c>
      <c r="J325" s="3">
        <f t="shared" si="476"/>
        <v>24.494897427831781</v>
      </c>
      <c r="K325" s="47">
        <f t="shared" si="477"/>
        <v>0.1937208030116756</v>
      </c>
      <c r="L325" s="3">
        <f t="shared" si="478"/>
        <v>3</v>
      </c>
      <c r="M325" s="47">
        <f t="shared" si="479"/>
        <v>0.41129682168083992</v>
      </c>
      <c r="N325" s="47">
        <f t="shared" si="480"/>
        <v>335.28447742954376</v>
      </c>
      <c r="O325" s="1">
        <f t="shared" si="481"/>
        <v>0.9969371786851503</v>
      </c>
      <c r="P325" s="1">
        <f t="shared" si="482"/>
        <v>7.2940023891746835</v>
      </c>
      <c r="Q325" s="1">
        <f t="shared" si="483"/>
        <v>74.411728106338018</v>
      </c>
      <c r="R325" s="1">
        <f t="shared" si="484"/>
        <v>74.245074705716121</v>
      </c>
      <c r="S325" s="47">
        <f t="shared" si="485"/>
        <v>135.59376849102262</v>
      </c>
      <c r="T325" s="1">
        <f t="shared" si="486"/>
        <v>65.861482856245445</v>
      </c>
      <c r="U325" s="47">
        <f t="shared" si="487"/>
        <v>65.721017329022715</v>
      </c>
      <c r="V325" s="47">
        <f t="shared" si="488"/>
        <v>114.28659786198551</v>
      </c>
      <c r="W325" s="2">
        <f t="shared" si="412"/>
        <v>994.61093814613423</v>
      </c>
      <c r="X325" s="1">
        <f t="shared" si="489"/>
        <v>102.95956640026155</v>
      </c>
      <c r="Y325" s="1">
        <f t="shared" si="490"/>
        <v>13.346041648272571</v>
      </c>
      <c r="Z325" s="2">
        <f t="shared" si="491"/>
        <v>4.1199656813148753</v>
      </c>
      <c r="AA325" s="3">
        <f t="shared" si="492"/>
        <v>1000</v>
      </c>
      <c r="AB325" s="1">
        <f t="shared" si="493"/>
        <v>5.4182611986055562E-3</v>
      </c>
      <c r="AC325" s="1">
        <f t="shared" si="496"/>
        <v>0</v>
      </c>
      <c r="AD325" s="64">
        <f t="shared" si="494"/>
        <v>0</v>
      </c>
      <c r="AE325" s="1">
        <f t="shared" si="495"/>
        <v>16.010555354117102</v>
      </c>
    </row>
    <row r="326" spans="1:31" ht="13.5" customHeight="1">
      <c r="A326" s="1">
        <v>7</v>
      </c>
      <c r="B326" s="3">
        <f t="shared" si="469"/>
        <v>1000</v>
      </c>
      <c r="C326" s="1">
        <f t="shared" si="470"/>
        <v>2.7660520938269335E-2</v>
      </c>
      <c r="D326" s="1">
        <f t="shared" si="411"/>
        <v>0.84243769736628926</v>
      </c>
      <c r="E326" s="1">
        <f t="shared" si="471"/>
        <v>74.411728106338018</v>
      </c>
      <c r="F326" s="1">
        <f t="shared" si="472"/>
        <v>20</v>
      </c>
      <c r="G326" s="1">
        <f t="shared" si="473"/>
        <v>995.98886633099255</v>
      </c>
      <c r="H326" s="1">
        <f t="shared" si="474"/>
        <v>65.838490935624009</v>
      </c>
      <c r="I326" s="1">
        <f t="shared" si="475"/>
        <v>216.91565438663818</v>
      </c>
      <c r="J326" s="3">
        <f t="shared" si="476"/>
        <v>26.457513110645905</v>
      </c>
      <c r="K326" s="47">
        <f t="shared" si="477"/>
        <v>0.22138132394994495</v>
      </c>
      <c r="L326" s="3">
        <f t="shared" si="478"/>
        <v>3</v>
      </c>
      <c r="M326" s="47">
        <f t="shared" si="479"/>
        <v>0.40287775059134662</v>
      </c>
      <c r="N326" s="47">
        <f t="shared" si="480"/>
        <v>292.72852754814096</v>
      </c>
      <c r="O326" s="1">
        <f t="shared" si="481"/>
        <v>0.99712106623748831</v>
      </c>
      <c r="P326" s="1">
        <f t="shared" si="482"/>
        <v>7.4464275964522244</v>
      </c>
      <c r="Q326" s="1">
        <f t="shared" si="483"/>
        <v>74.568828148074203</v>
      </c>
      <c r="R326" s="1">
        <f t="shared" si="484"/>
        <v>74.411728106338018</v>
      </c>
      <c r="S326" s="47">
        <f t="shared" si="485"/>
        <v>146.07186397502656</v>
      </c>
      <c r="T326" s="1">
        <f t="shared" si="486"/>
        <v>65.73569508547078</v>
      </c>
      <c r="U326" s="47">
        <f t="shared" si="487"/>
        <v>65.60402504873727</v>
      </c>
      <c r="V326" s="47">
        <f t="shared" si="488"/>
        <v>122.42700563772227</v>
      </c>
      <c r="W326" s="2">
        <f t="shared" si="412"/>
        <v>995.99886633099254</v>
      </c>
      <c r="X326" s="1">
        <f t="shared" si="489"/>
        <v>99.577875377769601</v>
      </c>
      <c r="Y326" s="1">
        <f t="shared" si="490"/>
        <v>14.016610603131658</v>
      </c>
      <c r="Z326" s="2">
        <f t="shared" si="491"/>
        <v>4.029428865908276</v>
      </c>
      <c r="AA326" s="3">
        <f t="shared" si="492"/>
        <v>1000</v>
      </c>
      <c r="AB326" s="1">
        <f t="shared" si="493"/>
        <v>4.0172070513961877E-3</v>
      </c>
      <c r="AC326" s="1">
        <f t="shared" si="496"/>
        <v>0</v>
      </c>
      <c r="AD326" s="64">
        <f t="shared" si="494"/>
        <v>0</v>
      </c>
      <c r="AE326" s="1">
        <f t="shared" si="495"/>
        <v>16.010555354117102</v>
      </c>
    </row>
    <row r="327" spans="1:31" ht="13.5" customHeight="1">
      <c r="A327" s="1">
        <v>8</v>
      </c>
      <c r="B327" s="3">
        <f t="shared" si="469"/>
        <v>1000</v>
      </c>
      <c r="C327" s="1">
        <f t="shared" si="470"/>
        <v>2.682051018831591E-2</v>
      </c>
      <c r="D327" s="1">
        <f t="shared" si="411"/>
        <v>0.83776451880585578</v>
      </c>
      <c r="E327" s="1">
        <f t="shared" si="471"/>
        <v>74.568828148074203</v>
      </c>
      <c r="F327" s="1">
        <f t="shared" si="472"/>
        <v>20</v>
      </c>
      <c r="G327" s="1">
        <f t="shared" si="473"/>
        <v>997.25631258201781</v>
      </c>
      <c r="H327" s="1">
        <f t="shared" si="474"/>
        <v>65.715828055270833</v>
      </c>
      <c r="I327" s="1">
        <f t="shared" si="475"/>
        <v>223.70939097996131</v>
      </c>
      <c r="J327" s="3">
        <f t="shared" si="476"/>
        <v>28.284271247461902</v>
      </c>
      <c r="K327" s="47">
        <f t="shared" si="477"/>
        <v>0.24820183413826086</v>
      </c>
      <c r="L327" s="3">
        <f t="shared" si="478"/>
        <v>3</v>
      </c>
      <c r="M327" s="47">
        <f t="shared" si="479"/>
        <v>0.39522585053863185</v>
      </c>
      <c r="N327" s="47">
        <f t="shared" si="480"/>
        <v>259.65699701266612</v>
      </c>
      <c r="O327" s="1">
        <f t="shared" si="481"/>
        <v>0.99726712580195176</v>
      </c>
      <c r="P327" s="1">
        <f t="shared" si="482"/>
        <v>7.5905966067539934</v>
      </c>
      <c r="Q327" s="1">
        <f t="shared" si="483"/>
        <v>74.718366560205936</v>
      </c>
      <c r="R327" s="1">
        <f t="shared" si="484"/>
        <v>74.568828148074203</v>
      </c>
      <c r="S327" s="47">
        <f t="shared" si="485"/>
        <v>155.8859742939205</v>
      </c>
      <c r="T327" s="1">
        <f t="shared" si="486"/>
        <v>65.61610640053803</v>
      </c>
      <c r="U327" s="47">
        <f t="shared" si="487"/>
        <v>65.491443320340579</v>
      </c>
      <c r="V327" s="47">
        <f t="shared" si="488"/>
        <v>129.95474164819899</v>
      </c>
      <c r="W327" s="2">
        <f t="shared" si="412"/>
        <v>997.2663125820178</v>
      </c>
      <c r="X327" s="1">
        <f t="shared" si="489"/>
        <v>96.553836677937284</v>
      </c>
      <c r="Y327" s="1">
        <f t="shared" si="490"/>
        <v>14.60206765822794</v>
      </c>
      <c r="Z327" s="2">
        <f t="shared" si="491"/>
        <v>3.9492244868205035</v>
      </c>
      <c r="AA327" s="3">
        <f t="shared" si="492"/>
        <v>1000</v>
      </c>
      <c r="AB327" s="1">
        <f t="shared" si="493"/>
        <v>2.7411809498552042E-3</v>
      </c>
      <c r="AC327" s="1">
        <f t="shared" si="496"/>
        <v>0</v>
      </c>
      <c r="AD327" s="64">
        <f t="shared" si="494"/>
        <v>0</v>
      </c>
      <c r="AE327" s="1">
        <f t="shared" si="495"/>
        <v>16.010555354117102</v>
      </c>
    </row>
    <row r="328" spans="1:31" ht="13.5" customHeight="1">
      <c r="A328" s="1">
        <v>9</v>
      </c>
      <c r="B328" s="3">
        <f t="shared" si="469"/>
        <v>1000</v>
      </c>
      <c r="C328" s="1">
        <f t="shared" si="470"/>
        <v>2.6059273906309351E-2</v>
      </c>
      <c r="D328" s="1">
        <f t="shared" si="411"/>
        <v>0.83328627808416778</v>
      </c>
      <c r="E328" s="1">
        <f t="shared" si="471"/>
        <v>74.718366560205936</v>
      </c>
      <c r="F328" s="1">
        <f t="shared" si="472"/>
        <v>20</v>
      </c>
      <c r="G328" s="1">
        <f t="shared" si="473"/>
        <v>998.42643899475399</v>
      </c>
      <c r="H328" s="1">
        <f t="shared" si="474"/>
        <v>65.596064013799193</v>
      </c>
      <c r="I328" s="1">
        <f t="shared" si="475"/>
        <v>230.24432766514295</v>
      </c>
      <c r="J328" s="3">
        <f t="shared" si="476"/>
        <v>30</v>
      </c>
      <c r="K328" s="47">
        <f t="shared" si="477"/>
        <v>0.27426110804457021</v>
      </c>
      <c r="L328" s="3">
        <f t="shared" si="478"/>
        <v>3</v>
      </c>
      <c r="M328" s="47">
        <f t="shared" si="479"/>
        <v>0.38819689744454383</v>
      </c>
      <c r="N328" s="47">
        <f t="shared" si="480"/>
        <v>233.16130160295268</v>
      </c>
      <c r="O328" s="1">
        <f t="shared" si="481"/>
        <v>0.99738651967210767</v>
      </c>
      <c r="P328" s="1">
        <f t="shared" si="482"/>
        <v>7.7280370341665785</v>
      </c>
      <c r="Q328" s="1">
        <f t="shared" si="483"/>
        <v>74.861746655844797</v>
      </c>
      <c r="R328" s="1">
        <f t="shared" si="484"/>
        <v>74.718366560205936</v>
      </c>
      <c r="S328" s="47">
        <f t="shared" si="485"/>
        <v>165.15905238609423</v>
      </c>
      <c r="T328" s="1">
        <f t="shared" si="486"/>
        <v>65.501383990844488</v>
      </c>
      <c r="U328" s="47">
        <f t="shared" si="487"/>
        <v>65.382467018892541</v>
      </c>
      <c r="V328" s="47">
        <f t="shared" si="488"/>
        <v>136.98006206995331</v>
      </c>
      <c r="W328" s="2">
        <f t="shared" si="412"/>
        <v>998.43643899475398</v>
      </c>
      <c r="X328" s="1">
        <f t="shared" si="489"/>
        <v>93.813386062713661</v>
      </c>
      <c r="Y328" s="1">
        <f t="shared" si="490"/>
        <v>15.121381652253271</v>
      </c>
      <c r="Z328" s="2">
        <f t="shared" si="491"/>
        <v>3.8768886667492599</v>
      </c>
      <c r="AA328" s="3">
        <f t="shared" si="492"/>
        <v>1000</v>
      </c>
      <c r="AB328" s="1">
        <f t="shared" si="493"/>
        <v>1.5660095567227028E-3</v>
      </c>
      <c r="AC328" s="1">
        <f t="shared" si="496"/>
        <v>0</v>
      </c>
      <c r="AD328" s="64">
        <f t="shared" si="494"/>
        <v>0</v>
      </c>
      <c r="AE328" s="1">
        <f t="shared" si="495"/>
        <v>16.010555354117102</v>
      </c>
    </row>
    <row r="329" spans="1:31" ht="13.5" customHeight="1">
      <c r="A329" s="1">
        <v>10</v>
      </c>
      <c r="B329" s="3">
        <f t="shared" si="469"/>
        <v>1000</v>
      </c>
      <c r="C329" s="1">
        <f t="shared" si="470"/>
        <v>2.5362353348041523E-2</v>
      </c>
      <c r="D329" s="1">
        <f t="shared" si="411"/>
        <v>0.8289665269949007</v>
      </c>
      <c r="E329" s="1">
        <f t="shared" si="471"/>
        <v>74.861746655844797</v>
      </c>
      <c r="F329" s="1">
        <f t="shared" si="472"/>
        <v>20</v>
      </c>
      <c r="G329" s="1">
        <f t="shared" si="473"/>
        <v>999.51561691484892</v>
      </c>
      <c r="H329" s="1">
        <f t="shared" si="474"/>
        <v>65.478551590169772</v>
      </c>
      <c r="I329" s="1">
        <f t="shared" si="475"/>
        <v>236.57110669753047</v>
      </c>
      <c r="J329" s="3">
        <f t="shared" si="476"/>
        <v>31.622776601683793</v>
      </c>
      <c r="K329" s="47">
        <f t="shared" si="477"/>
        <v>0.29962346139261176</v>
      </c>
      <c r="L329" s="3">
        <f t="shared" si="478"/>
        <v>3</v>
      </c>
      <c r="M329" s="47">
        <f t="shared" si="479"/>
        <v>0.3816859380797602</v>
      </c>
      <c r="N329" s="47">
        <f t="shared" si="480"/>
        <v>211.42554932896272</v>
      </c>
      <c r="O329" s="1">
        <f t="shared" si="481"/>
        <v>0.99748630283354178</v>
      </c>
      <c r="P329" s="1">
        <f t="shared" si="482"/>
        <v>7.8598651422497401</v>
      </c>
      <c r="Q329" s="1">
        <f t="shared" si="483"/>
        <v>75</v>
      </c>
      <c r="R329" s="1">
        <f t="shared" si="484"/>
        <v>74.861746655844797</v>
      </c>
      <c r="S329" s="47">
        <f t="shared" si="485"/>
        <v>173.98057120451961</v>
      </c>
      <c r="T329" s="1">
        <f t="shared" si="486"/>
        <v>65.390600330071507</v>
      </c>
      <c r="U329" s="47">
        <f t="shared" si="487"/>
        <v>65.276502106637963</v>
      </c>
      <c r="V329" s="47">
        <f t="shared" si="488"/>
        <v>143.58331950439813</v>
      </c>
      <c r="W329" s="2">
        <f t="shared" si="412"/>
        <v>999.52561691484891</v>
      </c>
      <c r="X329" s="1">
        <f t="shared" si="489"/>
        <v>91.304472052949478</v>
      </c>
      <c r="Y329" s="1">
        <f t="shared" si="490"/>
        <v>15.587704255459176</v>
      </c>
      <c r="Z329" s="2">
        <f t="shared" si="491"/>
        <v>3.8107634953477461</v>
      </c>
      <c r="AA329" s="3">
        <f t="shared" si="492"/>
        <v>1000</v>
      </c>
      <c r="AB329" s="1">
        <f t="shared" si="493"/>
        <v>4.7460823126810325E-4</v>
      </c>
      <c r="AC329" s="1">
        <f t="shared" si="496"/>
        <v>0</v>
      </c>
      <c r="AD329" s="64">
        <f t="shared" si="494"/>
        <v>0</v>
      </c>
      <c r="AE329" s="1">
        <f t="shared" si="495"/>
        <v>16.010555354117102</v>
      </c>
    </row>
    <row r="330" spans="1:31" ht="13.5" customHeight="1">
      <c r="K330" s="47"/>
      <c r="L330" s="47"/>
      <c r="M330" s="47"/>
      <c r="N330" s="47">
        <f>SUM(N320:N329)</f>
        <v>5005.2776770585515</v>
      </c>
      <c r="O330" s="2" t="s">
        <v>46</v>
      </c>
      <c r="P330" s="2"/>
      <c r="Q330" s="2"/>
      <c r="R330" s="49">
        <f>R310</f>
        <v>75</v>
      </c>
      <c r="S330" s="50" t="s">
        <v>45</v>
      </c>
      <c r="T330" s="2"/>
      <c r="U330" s="11">
        <f>U329</f>
        <v>65.276502106637963</v>
      </c>
      <c r="V330" s="47"/>
      <c r="W330" s="2"/>
      <c r="Y330" s="1">
        <f>N331</f>
        <v>16.010555354117102</v>
      </c>
      <c r="AE330" s="1">
        <f t="shared" si="495"/>
        <v>16.010555354117102</v>
      </c>
    </row>
    <row r="331" spans="1:31" ht="13.5" customHeight="1">
      <c r="K331" s="47"/>
      <c r="L331" s="2" t="s">
        <v>44</v>
      </c>
      <c r="M331" s="2"/>
      <c r="N331" s="47">
        <f>N330*2/1000+Y331</f>
        <v>16.010555354117102</v>
      </c>
      <c r="O331" s="2" t="s">
        <v>1</v>
      </c>
      <c r="P331" s="1">
        <f>SUM(P320:P329)</f>
        <v>71.553972625989061</v>
      </c>
      <c r="Q331" s="1" t="s">
        <v>43</v>
      </c>
      <c r="S331" s="47"/>
      <c r="U331" s="47"/>
      <c r="V331" s="47"/>
      <c r="W331" s="2"/>
      <c r="Y331" s="3">
        <f>Y311</f>
        <v>6</v>
      </c>
      <c r="Z331" s="3" t="s">
        <v>42</v>
      </c>
      <c r="AE331" s="1">
        <f>N331</f>
        <v>16.010555354117102</v>
      </c>
    </row>
    <row r="332" spans="1:31" ht="13.5" customHeight="1">
      <c r="L332" s="60" t="s">
        <v>41</v>
      </c>
      <c r="N332" s="3">
        <f>N312</f>
        <v>15</v>
      </c>
      <c r="O332" s="1" t="s">
        <v>1</v>
      </c>
    </row>
    <row r="335" spans="1:31" ht="13.5" customHeight="1" thickBot="1"/>
    <row r="336" spans="1:31" ht="13.5" customHeight="1">
      <c r="B336" s="14" t="s">
        <v>40</v>
      </c>
      <c r="C336" s="15"/>
      <c r="D336" s="15"/>
      <c r="E336" s="15"/>
      <c r="F336" s="15"/>
      <c r="G336" s="15"/>
      <c r="H336" s="15" t="s">
        <v>39</v>
      </c>
      <c r="I336" s="16"/>
      <c r="J336" s="14" t="s">
        <v>38</v>
      </c>
      <c r="K336" s="15"/>
      <c r="L336" s="15"/>
      <c r="M336" s="15"/>
      <c r="N336" s="15" t="s">
        <v>37</v>
      </c>
      <c r="O336" s="15"/>
      <c r="P336" s="15"/>
      <c r="Q336" s="15"/>
      <c r="R336" s="15"/>
      <c r="S336" s="16"/>
      <c r="T336" s="14" t="s">
        <v>36</v>
      </c>
      <c r="U336" s="15"/>
      <c r="V336" s="16"/>
      <c r="W336" s="14"/>
      <c r="X336" s="15"/>
      <c r="Y336" s="15"/>
      <c r="Z336" s="16"/>
    </row>
    <row r="337" spans="1:31" ht="13.5" customHeight="1">
      <c r="B337" s="17" t="s">
        <v>35</v>
      </c>
      <c r="C337" s="18" t="s">
        <v>22</v>
      </c>
      <c r="D337" s="18"/>
      <c r="E337" s="18" t="s">
        <v>34</v>
      </c>
      <c r="F337" s="18" t="s">
        <v>33</v>
      </c>
      <c r="G337" s="18" t="s">
        <v>7</v>
      </c>
      <c r="H337" s="18" t="s">
        <v>32</v>
      </c>
      <c r="I337" s="19" t="s">
        <v>22</v>
      </c>
      <c r="J337" s="17" t="s">
        <v>31</v>
      </c>
      <c r="K337" s="18"/>
      <c r="L337" s="18" t="s">
        <v>30</v>
      </c>
      <c r="M337" s="18"/>
      <c r="N337" s="18" t="s">
        <v>29</v>
      </c>
      <c r="O337" s="18"/>
      <c r="P337" s="18" t="s">
        <v>28</v>
      </c>
      <c r="Q337" s="20" t="s">
        <v>27</v>
      </c>
      <c r="R337" s="21" t="s">
        <v>26</v>
      </c>
      <c r="S337" s="22" t="s">
        <v>7</v>
      </c>
      <c r="T337" s="23" t="s">
        <v>25</v>
      </c>
      <c r="U337" s="24" t="s">
        <v>24</v>
      </c>
      <c r="V337" s="25" t="s">
        <v>7</v>
      </c>
      <c r="W337" s="26" t="s">
        <v>23</v>
      </c>
      <c r="X337" s="4" t="s">
        <v>22</v>
      </c>
      <c r="Y337" s="4" t="s">
        <v>21</v>
      </c>
      <c r="Z337" s="5" t="s">
        <v>20</v>
      </c>
    </row>
    <row r="338" spans="1:31" ht="13.5" customHeight="1">
      <c r="B338" s="54" t="s">
        <v>3</v>
      </c>
      <c r="C338" s="28" t="s">
        <v>17</v>
      </c>
      <c r="D338" s="20" t="s">
        <v>13</v>
      </c>
      <c r="E338" s="20" t="s">
        <v>19</v>
      </c>
      <c r="F338" s="28" t="s">
        <v>19</v>
      </c>
      <c r="G338" s="20" t="s">
        <v>3</v>
      </c>
      <c r="H338" s="20" t="s">
        <v>19</v>
      </c>
      <c r="I338" s="29" t="s">
        <v>12</v>
      </c>
      <c r="J338" s="55" t="s">
        <v>18</v>
      </c>
      <c r="K338" s="20" t="s">
        <v>17</v>
      </c>
      <c r="L338" s="56" t="s">
        <v>16</v>
      </c>
      <c r="M338" s="20" t="s">
        <v>15</v>
      </c>
      <c r="N338" s="20" t="s">
        <v>14</v>
      </c>
      <c r="O338" s="20" t="s">
        <v>13</v>
      </c>
      <c r="P338" s="20" t="s">
        <v>12</v>
      </c>
      <c r="Q338" s="20" t="s">
        <v>11</v>
      </c>
      <c r="R338" s="21" t="s">
        <v>11</v>
      </c>
      <c r="S338" s="22" t="s">
        <v>10</v>
      </c>
      <c r="T338" s="23" t="s">
        <v>9</v>
      </c>
      <c r="U338" s="24" t="s">
        <v>9</v>
      </c>
      <c r="V338" s="33" t="s">
        <v>8</v>
      </c>
      <c r="W338" s="34" t="s">
        <v>7</v>
      </c>
      <c r="X338" s="4" t="s">
        <v>6</v>
      </c>
      <c r="Y338" s="6" t="s">
        <v>5</v>
      </c>
      <c r="Z338" s="7" t="s">
        <v>5</v>
      </c>
    </row>
    <row r="339" spans="1:31" ht="13.5" customHeight="1" thickBot="1">
      <c r="B339" s="57"/>
      <c r="C339" s="3">
        <f>C319</f>
        <v>1.05</v>
      </c>
      <c r="D339" s="37"/>
      <c r="E339" s="38"/>
      <c r="F339" s="38"/>
      <c r="G339" s="37"/>
      <c r="H339" s="37"/>
      <c r="I339" s="39"/>
      <c r="J339" s="58" t="s">
        <v>4</v>
      </c>
      <c r="K339" s="44"/>
      <c r="L339" s="59"/>
      <c r="M339" s="37"/>
      <c r="N339" s="37"/>
      <c r="O339" s="37"/>
      <c r="P339" s="37"/>
      <c r="Q339" s="42"/>
      <c r="R339" s="42"/>
      <c r="S339" s="52" t="s">
        <v>3</v>
      </c>
      <c r="T339" s="43"/>
      <c r="U339" s="44"/>
      <c r="V339" s="39" t="s">
        <v>3</v>
      </c>
      <c r="W339" s="45" t="s">
        <v>3</v>
      </c>
      <c r="X339" s="8" t="s">
        <v>2</v>
      </c>
      <c r="Y339" s="9" t="s">
        <v>1</v>
      </c>
      <c r="Z339" s="13" t="s">
        <v>0</v>
      </c>
    </row>
    <row r="340" spans="1:31" ht="13.5" customHeight="1">
      <c r="A340" s="1">
        <v>1</v>
      </c>
      <c r="B340" s="3">
        <f t="shared" ref="B340:B349" si="497">B320</f>
        <v>1000</v>
      </c>
      <c r="C340" s="1">
        <f t="shared" ref="C340:C349" si="498">IF(B340&lt;1,0.000001,C320*(1+AB320))</f>
        <v>3.8300667869045422E-2</v>
      </c>
      <c r="D340" s="1">
        <f t="shared" ref="D340:D403" si="499">EXP((1+(E340-F340-55)/55*$B$18)*B340/C340/-210000)</f>
        <v>0.88459019160639385</v>
      </c>
      <c r="E340" s="1">
        <f t="shared" ref="E340:E349" si="500">R340</f>
        <v>73.022422338257456</v>
      </c>
      <c r="F340" s="1">
        <f t="shared" ref="F340:F349" si="501">F320</f>
        <v>20</v>
      </c>
      <c r="G340" s="1">
        <f t="shared" ref="G340:G349" si="502">(E340-F340)*C340*(1-D340)*4200</f>
        <v>984.36898592169507</v>
      </c>
      <c r="H340" s="1">
        <f t="shared" ref="H340:H349" si="503">(E340-F340)*D340+F340</f>
        <v>66.903114735634304</v>
      </c>
      <c r="I340" s="1">
        <f t="shared" ref="I340:I349" si="504">B340*0.001*6/C340</f>
        <v>156.65523171853607</v>
      </c>
      <c r="J340" s="3">
        <f t="shared" ref="J340:J349" si="505">J320</f>
        <v>10</v>
      </c>
      <c r="K340" s="47">
        <f t="shared" ref="K340:K349" si="506">K339+C340</f>
        <v>3.8300667869045422E-2</v>
      </c>
      <c r="L340" s="3">
        <f t="shared" ref="L340:L349" si="507">L320</f>
        <v>3</v>
      </c>
      <c r="M340" s="47">
        <f t="shared" ref="M340:M349" si="508">K340/(J340*J340*3.14/4000)</f>
        <v>0.48790659705790346</v>
      </c>
      <c r="N340" s="47">
        <f t="shared" ref="N340:N349" si="509">L340*26400/J340^1.27*M340^1.83*$N$69</f>
        <v>1429.8528253635532</v>
      </c>
      <c r="O340" s="1">
        <f t="shared" ref="O340:O349" si="510">EXP(-(J340+2)*3.14/1000*$O$66/(M340*J340*J340*3.14/4000*4200)*L340)</f>
        <v>0.99299752626972937</v>
      </c>
      <c r="P340" s="1">
        <f t="shared" ref="P340:P349" si="511">L340/M340</f>
        <v>6.1487178449525413</v>
      </c>
      <c r="Q340" s="1">
        <f t="shared" ref="Q340:Q349" si="512">R341</f>
        <v>73.396328727464422</v>
      </c>
      <c r="R340" s="1">
        <f t="shared" ref="R340:R349" si="513">(Q340-F340)*O340+F340</f>
        <v>73.022422338257456</v>
      </c>
      <c r="S340" s="47">
        <f t="shared" ref="S340:S349" si="514">K340*(1-O340)*4200*(Q340-F340)</f>
        <v>60.147630593945927</v>
      </c>
      <c r="T340" s="1">
        <f t="shared" ref="T340:T349" si="515">(U339*K339+H340*C340)/K340</f>
        <v>66.903114735634304</v>
      </c>
      <c r="U340" s="47">
        <f t="shared" ref="U340:U349" si="516">(T340-F340)*O340+F340</f>
        <v>66.574676906830149</v>
      </c>
      <c r="V340" s="47">
        <f t="shared" ref="V340:V349" si="517">K340*(1-O340)*4200*(T340-F340)</f>
        <v>52.833430425963996</v>
      </c>
      <c r="W340" s="2">
        <f t="shared" ref="W340:W403" si="518">G340+(S340+V340)*$AB$22+0.01</f>
        <v>984.37898592169506</v>
      </c>
      <c r="X340" s="1">
        <f t="shared" ref="X340:X349" si="519">C340*3600</f>
        <v>137.88240432856352</v>
      </c>
      <c r="Y340" s="1">
        <f t="shared" ref="Y340:Y349" si="520">Y341-2*N340/1000</f>
        <v>6.0000000000000071</v>
      </c>
      <c r="Z340" s="2">
        <f t="shared" ref="Z340:Z349" si="521">-1.1-1.8*LOG10(Y340/X340/X340)</f>
        <v>5.2015596014794401</v>
      </c>
      <c r="AA340" s="3">
        <f t="shared" ref="AA340:AA349" si="522">AA320</f>
        <v>1000</v>
      </c>
      <c r="AB340" s="1">
        <f t="shared" ref="AB340" si="523">((AA340/W340)-1)*AB$23+AC340+AD340</f>
        <v>1.586890242651684E-2</v>
      </c>
      <c r="AC340" s="1">
        <f>((N352/N351)-1)*AB$24</f>
        <v>0</v>
      </c>
      <c r="AD340" s="64">
        <f t="shared" ref="AD340" si="524">(AC$21-(X340/1000/SQRT(Y340/104))*1000/B340)*AB$21</f>
        <v>0</v>
      </c>
      <c r="AE340" s="1">
        <f t="shared" ref="AE340:AE350" si="525">AE341</f>
        <v>16.26529567642978</v>
      </c>
    </row>
    <row r="341" spans="1:31" ht="13.5" customHeight="1">
      <c r="A341" s="1">
        <v>2</v>
      </c>
      <c r="B341" s="3">
        <f t="shared" si="497"/>
        <v>1000</v>
      </c>
      <c r="C341" s="1">
        <f t="shared" si="498"/>
        <v>3.4915301981940851E-2</v>
      </c>
      <c r="D341" s="1">
        <f t="shared" si="499"/>
        <v>0.87382658637227051</v>
      </c>
      <c r="E341" s="1">
        <f t="shared" si="500"/>
        <v>73.396328727464422</v>
      </c>
      <c r="F341" s="1">
        <f t="shared" si="501"/>
        <v>20</v>
      </c>
      <c r="G341" s="1">
        <f t="shared" si="502"/>
        <v>987.97133499319682</v>
      </c>
      <c r="H341" s="1">
        <f t="shared" si="503"/>
        <v>66.65913165673183</v>
      </c>
      <c r="I341" s="1">
        <f t="shared" si="504"/>
        <v>171.84442520655739</v>
      </c>
      <c r="J341" s="3">
        <f t="shared" si="505"/>
        <v>14.142135623730951</v>
      </c>
      <c r="K341" s="47">
        <f t="shared" si="506"/>
        <v>7.3215969850986273E-2</v>
      </c>
      <c r="L341" s="3">
        <f t="shared" si="507"/>
        <v>3</v>
      </c>
      <c r="M341" s="47">
        <f t="shared" si="508"/>
        <v>0.46634375701265135</v>
      </c>
      <c r="N341" s="47">
        <f t="shared" si="509"/>
        <v>847.64388501324038</v>
      </c>
      <c r="O341" s="1">
        <f t="shared" si="510"/>
        <v>0.99506731414677618</v>
      </c>
      <c r="P341" s="1">
        <f t="shared" si="511"/>
        <v>6.4330227538965712</v>
      </c>
      <c r="Q341" s="1">
        <f t="shared" si="512"/>
        <v>73.661021690024342</v>
      </c>
      <c r="R341" s="1">
        <f t="shared" si="513"/>
        <v>73.396328727464422</v>
      </c>
      <c r="S341" s="47">
        <f t="shared" si="514"/>
        <v>81.394958259532274</v>
      </c>
      <c r="T341" s="1">
        <f t="shared" si="515"/>
        <v>66.614951769030682</v>
      </c>
      <c r="U341" s="47">
        <f t="shared" si="516"/>
        <v>66.385014855890873</v>
      </c>
      <c r="V341" s="47">
        <f t="shared" si="517"/>
        <v>70.707227220306791</v>
      </c>
      <c r="W341" s="2">
        <f t="shared" si="518"/>
        <v>987.98133499319681</v>
      </c>
      <c r="X341" s="1">
        <f t="shared" si="519"/>
        <v>125.69508713498706</v>
      </c>
      <c r="Y341" s="1">
        <f t="shared" si="520"/>
        <v>8.859705650727113</v>
      </c>
      <c r="Z341" s="2">
        <f t="shared" si="521"/>
        <v>4.7521911640007097</v>
      </c>
      <c r="AA341" s="3">
        <f t="shared" si="522"/>
        <v>1000</v>
      </c>
      <c r="AB341" s="1">
        <f t="shared" si="493"/>
        <v>1.2164870510317893E-2</v>
      </c>
      <c r="AC341" s="1">
        <f t="shared" ref="AC341:AC349" si="526">AC340</f>
        <v>0</v>
      </c>
      <c r="AD341" s="64">
        <f t="shared" si="494"/>
        <v>0</v>
      </c>
      <c r="AE341" s="1">
        <f t="shared" si="525"/>
        <v>16.26529567642978</v>
      </c>
    </row>
    <row r="342" spans="1:31" ht="13.5" customHeight="1">
      <c r="A342" s="1">
        <v>3</v>
      </c>
      <c r="B342" s="3">
        <f t="shared" si="497"/>
        <v>1000</v>
      </c>
      <c r="C342" s="1">
        <f t="shared" si="498"/>
        <v>3.2796793576334506E-2</v>
      </c>
      <c r="D342" s="1">
        <f t="shared" si="499"/>
        <v>0.86601676852640275</v>
      </c>
      <c r="E342" s="1">
        <f t="shared" si="500"/>
        <v>73.661021690024342</v>
      </c>
      <c r="F342" s="1">
        <f t="shared" si="501"/>
        <v>20</v>
      </c>
      <c r="G342" s="1">
        <f t="shared" si="502"/>
        <v>990.35309271330709</v>
      </c>
      <c r="H342" s="1">
        <f t="shared" si="503"/>
        <v>66.471344599820085</v>
      </c>
      <c r="I342" s="1">
        <f t="shared" si="504"/>
        <v>182.94471336153657</v>
      </c>
      <c r="J342" s="3">
        <f t="shared" si="505"/>
        <v>17.320508075688775</v>
      </c>
      <c r="K342" s="47">
        <f t="shared" si="506"/>
        <v>0.10601276342732077</v>
      </c>
      <c r="L342" s="3">
        <f t="shared" si="507"/>
        <v>3</v>
      </c>
      <c r="M342" s="47">
        <f t="shared" si="508"/>
        <v>0.45016035425613904</v>
      </c>
      <c r="N342" s="47">
        <f t="shared" si="509"/>
        <v>614.22183935874568</v>
      </c>
      <c r="O342" s="1">
        <f t="shared" si="510"/>
        <v>0.99592080276744832</v>
      </c>
      <c r="P342" s="1">
        <f t="shared" si="511"/>
        <v>6.6642918942902174</v>
      </c>
      <c r="Q342" s="1">
        <f t="shared" si="512"/>
        <v>73.880812149833574</v>
      </c>
      <c r="R342" s="1">
        <f t="shared" si="513"/>
        <v>73.661021690024342</v>
      </c>
      <c r="S342" s="47">
        <f t="shared" si="514"/>
        <v>97.862494881222972</v>
      </c>
      <c r="T342" s="1">
        <f t="shared" si="515"/>
        <v>66.411722383358409</v>
      </c>
      <c r="U342" s="47">
        <f t="shared" si="516"/>
        <v>66.222399813854253</v>
      </c>
      <c r="V342" s="47">
        <f t="shared" si="517"/>
        <v>84.296556843644069</v>
      </c>
      <c r="W342" s="2">
        <f t="shared" si="518"/>
        <v>990.36309271330708</v>
      </c>
      <c r="X342" s="1">
        <f t="shared" si="519"/>
        <v>118.06845687480423</v>
      </c>
      <c r="Y342" s="1">
        <f t="shared" si="520"/>
        <v>10.554993420753593</v>
      </c>
      <c r="Z342" s="2">
        <f t="shared" si="521"/>
        <v>4.5174576532809549</v>
      </c>
      <c r="AA342" s="3">
        <f t="shared" si="522"/>
        <v>1000</v>
      </c>
      <c r="AB342" s="1">
        <f t="shared" si="493"/>
        <v>9.7306809569110975E-3</v>
      </c>
      <c r="AC342" s="1">
        <f t="shared" si="526"/>
        <v>0</v>
      </c>
      <c r="AD342" s="64">
        <f t="shared" si="494"/>
        <v>0</v>
      </c>
      <c r="AE342" s="1">
        <f t="shared" si="525"/>
        <v>16.26529567642978</v>
      </c>
    </row>
    <row r="343" spans="1:31" ht="13.5" customHeight="1">
      <c r="A343" s="1">
        <v>4</v>
      </c>
      <c r="B343" s="3">
        <f t="shared" si="497"/>
        <v>1000</v>
      </c>
      <c r="C343" s="1">
        <f t="shared" si="498"/>
        <v>3.1191033481847274E-2</v>
      </c>
      <c r="D343" s="1">
        <f t="shared" si="499"/>
        <v>0.85942776228700857</v>
      </c>
      <c r="E343" s="1">
        <f t="shared" si="500"/>
        <v>73.880812149833574</v>
      </c>
      <c r="F343" s="1">
        <f t="shared" si="501"/>
        <v>20</v>
      </c>
      <c r="G343" s="1">
        <f t="shared" si="502"/>
        <v>992.23089794096234</v>
      </c>
      <c r="H343" s="1">
        <f t="shared" si="503"/>
        <v>66.306665816138121</v>
      </c>
      <c r="I343" s="1">
        <f t="shared" si="504"/>
        <v>192.36297519580145</v>
      </c>
      <c r="J343" s="3">
        <f t="shared" si="505"/>
        <v>20</v>
      </c>
      <c r="K343" s="47">
        <f t="shared" si="506"/>
        <v>0.13720379690916804</v>
      </c>
      <c r="L343" s="3">
        <f t="shared" si="507"/>
        <v>3</v>
      </c>
      <c r="M343" s="47">
        <f t="shared" si="508"/>
        <v>0.43695476722664978</v>
      </c>
      <c r="N343" s="47">
        <f t="shared" si="509"/>
        <v>484.53579053674054</v>
      </c>
      <c r="O343" s="1">
        <f t="shared" si="510"/>
        <v>0.99641014037502773</v>
      </c>
      <c r="P343" s="1">
        <f t="shared" si="511"/>
        <v>6.8656992096481479</v>
      </c>
      <c r="Q343" s="1">
        <f t="shared" si="512"/>
        <v>74.074933570581663</v>
      </c>
      <c r="R343" s="1">
        <f t="shared" si="513"/>
        <v>73.880812149833574</v>
      </c>
      <c r="S343" s="47">
        <f t="shared" si="514"/>
        <v>111.86362314976765</v>
      </c>
      <c r="T343" s="1">
        <f t="shared" si="515"/>
        <v>66.241556307754763</v>
      </c>
      <c r="U343" s="47">
        <f t="shared" si="516"/>
        <v>66.075555611769673</v>
      </c>
      <c r="V343" s="47">
        <f t="shared" si="517"/>
        <v>95.658888270619443</v>
      </c>
      <c r="W343" s="2">
        <f t="shared" si="518"/>
        <v>992.24089794096233</v>
      </c>
      <c r="X343" s="1">
        <f t="shared" si="519"/>
        <v>112.28772053465019</v>
      </c>
      <c r="Y343" s="1">
        <f t="shared" si="520"/>
        <v>11.783437099471085</v>
      </c>
      <c r="Z343" s="2">
        <f t="shared" si="521"/>
        <v>4.3529065781731351</v>
      </c>
      <c r="AA343" s="3">
        <f t="shared" si="522"/>
        <v>1000</v>
      </c>
      <c r="AB343" s="1">
        <f t="shared" si="493"/>
        <v>7.8197765030032507E-3</v>
      </c>
      <c r="AC343" s="1">
        <f t="shared" si="526"/>
        <v>0</v>
      </c>
      <c r="AD343" s="64">
        <f t="shared" si="494"/>
        <v>0</v>
      </c>
      <c r="AE343" s="1">
        <f t="shared" si="525"/>
        <v>16.26529567642978</v>
      </c>
    </row>
    <row r="344" spans="1:31" ht="13.5" customHeight="1">
      <c r="A344" s="1">
        <v>5</v>
      </c>
      <c r="B344" s="3">
        <f t="shared" si="497"/>
        <v>1000</v>
      </c>
      <c r="C344" s="1">
        <f t="shared" si="498"/>
        <v>2.987667923710436E-2</v>
      </c>
      <c r="D344" s="1">
        <f t="shared" si="499"/>
        <v>0.85353677327412847</v>
      </c>
      <c r="E344" s="1">
        <f t="shared" si="500"/>
        <v>74.074933570581663</v>
      </c>
      <c r="F344" s="1">
        <f t="shared" si="501"/>
        <v>20</v>
      </c>
      <c r="G344" s="1">
        <f t="shared" si="502"/>
        <v>993.81650993055428</v>
      </c>
      <c r="H344" s="1">
        <f t="shared" si="503"/>
        <v>66.154944314847114</v>
      </c>
      <c r="I344" s="1">
        <f t="shared" si="504"/>
        <v>200.82553192687149</v>
      </c>
      <c r="J344" s="3">
        <f t="shared" si="505"/>
        <v>22.360679774997898</v>
      </c>
      <c r="K344" s="47">
        <f t="shared" si="506"/>
        <v>0.16708047614627239</v>
      </c>
      <c r="L344" s="3">
        <f t="shared" si="507"/>
        <v>3</v>
      </c>
      <c r="M344" s="47">
        <f t="shared" si="508"/>
        <v>0.42568274177394233</v>
      </c>
      <c r="N344" s="47">
        <f t="shared" si="509"/>
        <v>400.88213329506766</v>
      </c>
      <c r="O344" s="1">
        <f t="shared" si="510"/>
        <v>0.99673520885070443</v>
      </c>
      <c r="P344" s="1">
        <f t="shared" si="511"/>
        <v>7.047502061037612</v>
      </c>
      <c r="Q344" s="1">
        <f t="shared" si="512"/>
        <v>74.252055200230473</v>
      </c>
      <c r="R344" s="1">
        <f t="shared" si="513"/>
        <v>74.074933570581663</v>
      </c>
      <c r="S344" s="47">
        <f t="shared" si="514"/>
        <v>124.29297811361074</v>
      </c>
      <c r="T344" s="1">
        <f t="shared" si="515"/>
        <v>66.089751590088639</v>
      </c>
      <c r="U344" s="47">
        <f t="shared" si="516"/>
        <v>65.939278177024079</v>
      </c>
      <c r="V344" s="47">
        <f t="shared" si="517"/>
        <v>105.5929119091567</v>
      </c>
      <c r="W344" s="2">
        <f t="shared" si="518"/>
        <v>993.82650993055427</v>
      </c>
      <c r="X344" s="1">
        <f t="shared" si="519"/>
        <v>107.5560452535757</v>
      </c>
      <c r="Y344" s="1">
        <f t="shared" si="520"/>
        <v>12.752508680544565</v>
      </c>
      <c r="Z344" s="2">
        <f t="shared" si="521"/>
        <v>4.2238132406269546</v>
      </c>
      <c r="AA344" s="3">
        <f t="shared" si="522"/>
        <v>1000</v>
      </c>
      <c r="AB344" s="1">
        <f t="shared" si="493"/>
        <v>6.2118387945568898E-3</v>
      </c>
      <c r="AC344" s="1">
        <f t="shared" si="526"/>
        <v>0</v>
      </c>
      <c r="AD344" s="64">
        <f t="shared" si="494"/>
        <v>0</v>
      </c>
      <c r="AE344" s="1">
        <f t="shared" si="525"/>
        <v>16.26529567642978</v>
      </c>
    </row>
    <row r="345" spans="1:31" ht="13.5" customHeight="1">
      <c r="A345" s="1">
        <v>6</v>
      </c>
      <c r="B345" s="3">
        <f t="shared" si="497"/>
        <v>1000</v>
      </c>
      <c r="C345" s="1">
        <f t="shared" si="498"/>
        <v>2.8754841173309263E-2</v>
      </c>
      <c r="D345" s="1">
        <f t="shared" si="499"/>
        <v>0.84810756301785528</v>
      </c>
      <c r="E345" s="1">
        <f t="shared" si="500"/>
        <v>74.252055200230473</v>
      </c>
      <c r="F345" s="1">
        <f t="shared" si="501"/>
        <v>20</v>
      </c>
      <c r="G345" s="1">
        <f t="shared" si="502"/>
        <v>995.20513575724601</v>
      </c>
      <c r="H345" s="1">
        <f t="shared" si="503"/>
        <v>66.011578324577627</v>
      </c>
      <c r="I345" s="1">
        <f t="shared" si="504"/>
        <v>208.66051611404146</v>
      </c>
      <c r="J345" s="3">
        <f t="shared" si="505"/>
        <v>24.494897427831781</v>
      </c>
      <c r="K345" s="47">
        <f t="shared" si="506"/>
        <v>0.19583531731958165</v>
      </c>
      <c r="L345" s="3">
        <f t="shared" si="507"/>
        <v>3</v>
      </c>
      <c r="M345" s="47">
        <f t="shared" si="508"/>
        <v>0.4157862363473071</v>
      </c>
      <c r="N345" s="47">
        <f t="shared" si="509"/>
        <v>342.012083250297</v>
      </c>
      <c r="O345" s="1">
        <f t="shared" si="510"/>
        <v>0.99697019907459439</v>
      </c>
      <c r="P345" s="1">
        <f t="shared" si="511"/>
        <v>7.2152460513245416</v>
      </c>
      <c r="Q345" s="1">
        <f t="shared" si="512"/>
        <v>74.416927658006429</v>
      </c>
      <c r="R345" s="1">
        <f t="shared" si="513"/>
        <v>74.252055200230473</v>
      </c>
      <c r="S345" s="47">
        <f t="shared" si="514"/>
        <v>135.60897036041916</v>
      </c>
      <c r="T345" s="1">
        <f t="shared" si="515"/>
        <v>65.949894133778798</v>
      </c>
      <c r="U345" s="47">
        <f t="shared" si="516"/>
        <v>65.810675102009981</v>
      </c>
      <c r="V345" s="47">
        <f t="shared" si="517"/>
        <v>114.50881370615566</v>
      </c>
      <c r="W345" s="2">
        <f t="shared" si="518"/>
        <v>995.215135757246</v>
      </c>
      <c r="X345" s="1">
        <f t="shared" si="519"/>
        <v>103.51742822391334</v>
      </c>
      <c r="Y345" s="1">
        <f t="shared" si="520"/>
        <v>13.554272947134701</v>
      </c>
      <c r="Z345" s="2">
        <f t="shared" si="521"/>
        <v>4.1163112975347005</v>
      </c>
      <c r="AA345" s="3">
        <f t="shared" si="522"/>
        <v>1000</v>
      </c>
      <c r="AB345" s="1">
        <f t="shared" si="493"/>
        <v>4.8078692443853654E-3</v>
      </c>
      <c r="AC345" s="1">
        <f t="shared" si="526"/>
        <v>0</v>
      </c>
      <c r="AD345" s="64">
        <f t="shared" si="494"/>
        <v>0</v>
      </c>
      <c r="AE345" s="1">
        <f t="shared" si="525"/>
        <v>16.26529567642978</v>
      </c>
    </row>
    <row r="346" spans="1:31" ht="13.5" customHeight="1">
      <c r="A346" s="1">
        <v>7</v>
      </c>
      <c r="B346" s="3">
        <f t="shared" si="497"/>
        <v>1000</v>
      </c>
      <c r="C346" s="1">
        <f t="shared" si="498"/>
        <v>2.7771638978027841E-2</v>
      </c>
      <c r="D346" s="1">
        <f t="shared" si="499"/>
        <v>0.84301062914715785</v>
      </c>
      <c r="E346" s="1">
        <f t="shared" si="500"/>
        <v>74.416927658006429</v>
      </c>
      <c r="F346" s="1">
        <f t="shared" si="501"/>
        <v>20</v>
      </c>
      <c r="G346" s="1">
        <f t="shared" si="502"/>
        <v>996.44898358574869</v>
      </c>
      <c r="H346" s="1">
        <f t="shared" si="503"/>
        <v>65.874048421231379</v>
      </c>
      <c r="I346" s="1">
        <f t="shared" si="504"/>
        <v>216.04774585853704</v>
      </c>
      <c r="J346" s="3">
        <f t="shared" si="505"/>
        <v>26.457513110645905</v>
      </c>
      <c r="K346" s="47">
        <f t="shared" si="506"/>
        <v>0.22360695629760949</v>
      </c>
      <c r="L346" s="3">
        <f t="shared" si="507"/>
        <v>3</v>
      </c>
      <c r="M346" s="47">
        <f t="shared" si="508"/>
        <v>0.40692803693832486</v>
      </c>
      <c r="N346" s="47">
        <f t="shared" si="509"/>
        <v>298.13651571128059</v>
      </c>
      <c r="O346" s="1">
        <f t="shared" si="510"/>
        <v>0.99714968031928952</v>
      </c>
      <c r="P346" s="1">
        <f t="shared" si="511"/>
        <v>7.3723108945051345</v>
      </c>
      <c r="Q346" s="1">
        <f t="shared" si="512"/>
        <v>74.572476662261991</v>
      </c>
      <c r="R346" s="1">
        <f t="shared" si="513"/>
        <v>74.416927658006429</v>
      </c>
      <c r="S346" s="47">
        <f t="shared" si="514"/>
        <v>146.08372546617932</v>
      </c>
      <c r="T346" s="1">
        <f t="shared" si="515"/>
        <v>65.818545970481139</v>
      </c>
      <c r="U346" s="47">
        <f t="shared" si="516"/>
        <v>65.687948467159941</v>
      </c>
      <c r="V346" s="47">
        <f t="shared" si="517"/>
        <v>122.65054291442614</v>
      </c>
      <c r="W346" s="2">
        <f t="shared" si="518"/>
        <v>996.45898358574868</v>
      </c>
      <c r="X346" s="1">
        <f t="shared" si="519"/>
        <v>99.977900320900233</v>
      </c>
      <c r="Y346" s="1">
        <f t="shared" si="520"/>
        <v>14.238297113635294</v>
      </c>
      <c r="Z346" s="2">
        <f t="shared" si="521"/>
        <v>4.0234299499594428</v>
      </c>
      <c r="AA346" s="3">
        <f t="shared" si="522"/>
        <v>1000</v>
      </c>
      <c r="AB346" s="1">
        <f t="shared" si="493"/>
        <v>3.5535997693643129E-3</v>
      </c>
      <c r="AC346" s="1">
        <f t="shared" si="526"/>
        <v>0</v>
      </c>
      <c r="AD346" s="64">
        <f t="shared" si="494"/>
        <v>0</v>
      </c>
      <c r="AE346" s="1">
        <f t="shared" si="525"/>
        <v>16.26529567642978</v>
      </c>
    </row>
    <row r="347" spans="1:31" ht="13.5" customHeight="1">
      <c r="A347" s="1">
        <v>8</v>
      </c>
      <c r="B347" s="3">
        <f t="shared" si="497"/>
        <v>1000</v>
      </c>
      <c r="C347" s="1">
        <f t="shared" si="498"/>
        <v>2.6894030059909518E-2</v>
      </c>
      <c r="D347" s="1">
        <f t="shared" si="499"/>
        <v>0.83816628057770237</v>
      </c>
      <c r="E347" s="1">
        <f t="shared" si="500"/>
        <v>74.572476662261991</v>
      </c>
      <c r="F347" s="1">
        <f t="shared" si="501"/>
        <v>20</v>
      </c>
      <c r="G347" s="1">
        <f t="shared" si="502"/>
        <v>997.58028069590387</v>
      </c>
      <c r="H347" s="1">
        <f t="shared" si="503"/>
        <v>65.740809785921599</v>
      </c>
      <c r="I347" s="1">
        <f t="shared" si="504"/>
        <v>223.09783943255496</v>
      </c>
      <c r="J347" s="3">
        <f t="shared" si="505"/>
        <v>28.284271247461902</v>
      </c>
      <c r="K347" s="47">
        <f t="shared" si="506"/>
        <v>0.250500986357519</v>
      </c>
      <c r="L347" s="3">
        <f t="shared" si="507"/>
        <v>3</v>
      </c>
      <c r="M347" s="47">
        <f t="shared" si="508"/>
        <v>0.39888692095146328</v>
      </c>
      <c r="N347" s="47">
        <f t="shared" si="509"/>
        <v>264.0755424036268</v>
      </c>
      <c r="O347" s="1">
        <f t="shared" si="510"/>
        <v>0.9972921747213721</v>
      </c>
      <c r="P347" s="1">
        <f t="shared" si="511"/>
        <v>7.520928469763092</v>
      </c>
      <c r="Q347" s="1">
        <f t="shared" si="512"/>
        <v>74.72065062328268</v>
      </c>
      <c r="R347" s="1">
        <f t="shared" si="513"/>
        <v>74.572476662261991</v>
      </c>
      <c r="S347" s="47">
        <f t="shared" si="514"/>
        <v>155.89443823037053</v>
      </c>
      <c r="T347" s="1">
        <f t="shared" si="515"/>
        <v>65.693623709866387</v>
      </c>
      <c r="U347" s="47">
        <f t="shared" si="516"/>
        <v>65.569893360512708</v>
      </c>
      <c r="V347" s="47">
        <f t="shared" si="517"/>
        <v>130.17721313292802</v>
      </c>
      <c r="W347" s="2">
        <f t="shared" si="518"/>
        <v>997.59028069590386</v>
      </c>
      <c r="X347" s="1">
        <f t="shared" si="519"/>
        <v>96.818508215674257</v>
      </c>
      <c r="Y347" s="1">
        <f t="shared" si="520"/>
        <v>14.834570145057855</v>
      </c>
      <c r="Z347" s="2">
        <f t="shared" si="521"/>
        <v>3.9411552525643789</v>
      </c>
      <c r="AA347" s="3">
        <f t="shared" si="522"/>
        <v>1000</v>
      </c>
      <c r="AB347" s="1">
        <f t="shared" si="493"/>
        <v>2.4155400776511016E-3</v>
      </c>
      <c r="AC347" s="1">
        <f t="shared" si="526"/>
        <v>0</v>
      </c>
      <c r="AD347" s="64">
        <f t="shared" si="494"/>
        <v>0</v>
      </c>
      <c r="AE347" s="1">
        <f t="shared" si="525"/>
        <v>16.26529567642978</v>
      </c>
    </row>
    <row r="348" spans="1:31" ht="13.5" customHeight="1">
      <c r="A348" s="1">
        <v>9</v>
      </c>
      <c r="B348" s="3">
        <f t="shared" si="497"/>
        <v>1000</v>
      </c>
      <c r="C348" s="1">
        <f t="shared" si="498"/>
        <v>2.6100082978287885E-2</v>
      </c>
      <c r="D348" s="1">
        <f t="shared" si="499"/>
        <v>0.833521531332026</v>
      </c>
      <c r="E348" s="1">
        <f t="shared" si="500"/>
        <v>74.72065062328268</v>
      </c>
      <c r="F348" s="1">
        <f t="shared" si="501"/>
        <v>20</v>
      </c>
      <c r="G348" s="1">
        <f t="shared" si="502"/>
        <v>998.62056023409502</v>
      </c>
      <c r="H348" s="1">
        <f t="shared" si="503"/>
        <v>65.610840503003359</v>
      </c>
      <c r="I348" s="1">
        <f t="shared" si="504"/>
        <v>229.88432661272668</v>
      </c>
      <c r="J348" s="3">
        <f t="shared" si="505"/>
        <v>30</v>
      </c>
      <c r="K348" s="47">
        <f t="shared" si="506"/>
        <v>0.27660106933580686</v>
      </c>
      <c r="L348" s="3">
        <f t="shared" si="507"/>
        <v>3</v>
      </c>
      <c r="M348" s="47">
        <f t="shared" si="508"/>
        <v>0.39150894456589785</v>
      </c>
      <c r="N348" s="47">
        <f t="shared" si="509"/>
        <v>236.81460946381287</v>
      </c>
      <c r="O348" s="1">
        <f t="shared" si="510"/>
        <v>0.99740860025247635</v>
      </c>
      <c r="P348" s="1">
        <f t="shared" si="511"/>
        <v>7.662660180922245</v>
      </c>
      <c r="Q348" s="1">
        <f t="shared" si="512"/>
        <v>74.862822126690219</v>
      </c>
      <c r="R348" s="1">
        <f t="shared" si="513"/>
        <v>74.72065062328268</v>
      </c>
      <c r="S348" s="47">
        <f t="shared" si="514"/>
        <v>165.16411746074027</v>
      </c>
      <c r="T348" s="1">
        <f t="shared" si="515"/>
        <v>65.573757133777576</v>
      </c>
      <c r="U348" s="47">
        <f t="shared" si="516"/>
        <v>65.455657311047403</v>
      </c>
      <c r="V348" s="47">
        <f t="shared" si="517"/>
        <v>137.19945647324997</v>
      </c>
      <c r="W348" s="2">
        <f t="shared" si="518"/>
        <v>998.63056023409501</v>
      </c>
      <c r="X348" s="1">
        <f t="shared" si="519"/>
        <v>93.960298721836381</v>
      </c>
      <c r="Y348" s="1">
        <f t="shared" si="520"/>
        <v>15.362721229865109</v>
      </c>
      <c r="Z348" s="2">
        <f t="shared" si="521"/>
        <v>3.866957129850539</v>
      </c>
      <c r="AA348" s="3">
        <f t="shared" si="522"/>
        <v>1000</v>
      </c>
      <c r="AB348" s="1">
        <f t="shared" si="493"/>
        <v>1.3713177028991108E-3</v>
      </c>
      <c r="AC348" s="1">
        <f t="shared" si="526"/>
        <v>0</v>
      </c>
      <c r="AD348" s="64">
        <f t="shared" si="494"/>
        <v>0</v>
      </c>
      <c r="AE348" s="1">
        <f t="shared" si="525"/>
        <v>16.26529567642978</v>
      </c>
    </row>
    <row r="349" spans="1:31" ht="13.5" customHeight="1">
      <c r="A349" s="1">
        <v>10</v>
      </c>
      <c r="B349" s="3">
        <f t="shared" si="497"/>
        <v>1000</v>
      </c>
      <c r="C349" s="1">
        <f t="shared" si="498"/>
        <v>2.5374390529704836E-2</v>
      </c>
      <c r="D349" s="1">
        <f t="shared" si="499"/>
        <v>0.82903913785247441</v>
      </c>
      <c r="E349" s="1">
        <f t="shared" si="500"/>
        <v>74.862822126690219</v>
      </c>
      <c r="F349" s="1">
        <f t="shared" si="501"/>
        <v>20</v>
      </c>
      <c r="G349" s="1">
        <f t="shared" si="502"/>
        <v>999.58505248035874</v>
      </c>
      <c r="H349" s="1">
        <f t="shared" si="503"/>
        <v>65.483426756064915</v>
      </c>
      <c r="I349" s="1">
        <f t="shared" si="504"/>
        <v>236.45888136607766</v>
      </c>
      <c r="J349" s="3">
        <f t="shared" si="505"/>
        <v>31.622776601683793</v>
      </c>
      <c r="K349" s="47">
        <f t="shared" si="506"/>
        <v>0.30197545986551172</v>
      </c>
      <c r="L349" s="3">
        <f t="shared" si="507"/>
        <v>3</v>
      </c>
      <c r="M349" s="47">
        <f t="shared" si="508"/>
        <v>0.38468211447835887</v>
      </c>
      <c r="N349" s="47">
        <f t="shared" si="509"/>
        <v>214.47261381852303</v>
      </c>
      <c r="O349" s="1">
        <f t="shared" si="510"/>
        <v>0.99750585684891302</v>
      </c>
      <c r="P349" s="1">
        <f t="shared" si="511"/>
        <v>7.7986469531293263</v>
      </c>
      <c r="Q349" s="1">
        <f t="shared" si="512"/>
        <v>75</v>
      </c>
      <c r="R349" s="1">
        <f t="shared" si="513"/>
        <v>74.862822126690219</v>
      </c>
      <c r="S349" s="47">
        <f t="shared" si="514"/>
        <v>173.98227577959861</v>
      </c>
      <c r="T349" s="1">
        <f t="shared" si="515"/>
        <v>65.457990721659584</v>
      </c>
      <c r="U349" s="47">
        <f t="shared" si="516"/>
        <v>65.344611985438974</v>
      </c>
      <c r="V349" s="47">
        <f t="shared" si="517"/>
        <v>143.79790323858569</v>
      </c>
      <c r="W349" s="2">
        <f t="shared" si="518"/>
        <v>999.59505248035873</v>
      </c>
      <c r="X349" s="1">
        <f t="shared" si="519"/>
        <v>91.34780590693741</v>
      </c>
      <c r="Y349" s="1">
        <f t="shared" si="520"/>
        <v>15.836350448792734</v>
      </c>
      <c r="Z349" s="2">
        <f t="shared" si="521"/>
        <v>3.7991340466616177</v>
      </c>
      <c r="AA349" s="3">
        <f t="shared" si="522"/>
        <v>1000</v>
      </c>
      <c r="AB349" s="1">
        <f t="shared" si="493"/>
        <v>4.0511156856615216E-4</v>
      </c>
      <c r="AC349" s="1">
        <f t="shared" si="526"/>
        <v>0</v>
      </c>
      <c r="AD349" s="64">
        <f t="shared" si="494"/>
        <v>0</v>
      </c>
      <c r="AE349" s="1">
        <f t="shared" si="525"/>
        <v>16.26529567642978</v>
      </c>
    </row>
    <row r="350" spans="1:31" ht="13.5" customHeight="1">
      <c r="K350" s="47"/>
      <c r="L350" s="47"/>
      <c r="M350" s="47"/>
      <c r="N350" s="47">
        <f>SUM(N340:N349)</f>
        <v>5132.6478382148889</v>
      </c>
      <c r="O350" s="2" t="s">
        <v>46</v>
      </c>
      <c r="P350" s="2"/>
      <c r="Q350" s="2"/>
      <c r="R350" s="49">
        <f>R330</f>
        <v>75</v>
      </c>
      <c r="S350" s="50" t="s">
        <v>45</v>
      </c>
      <c r="T350" s="2"/>
      <c r="U350" s="11">
        <f>U349</f>
        <v>65.344611985438974</v>
      </c>
      <c r="V350" s="47"/>
      <c r="W350" s="2"/>
      <c r="Y350" s="1">
        <f>N351</f>
        <v>16.26529567642978</v>
      </c>
      <c r="AE350" s="1">
        <f t="shared" si="525"/>
        <v>16.26529567642978</v>
      </c>
    </row>
    <row r="351" spans="1:31" ht="13.5" customHeight="1">
      <c r="K351" s="47"/>
      <c r="L351" s="2" t="s">
        <v>44</v>
      </c>
      <c r="M351" s="2"/>
      <c r="N351" s="47">
        <f>N350*2/1000+Y351</f>
        <v>16.26529567642978</v>
      </c>
      <c r="O351" s="2" t="s">
        <v>1</v>
      </c>
      <c r="P351" s="1">
        <f>SUM(P340:P349)</f>
        <v>70.729026313469433</v>
      </c>
      <c r="Q351" s="1" t="s">
        <v>43</v>
      </c>
      <c r="S351" s="47"/>
      <c r="U351" s="47"/>
      <c r="V351" s="47"/>
      <c r="W351" s="2"/>
      <c r="Y351" s="3">
        <f>Y331</f>
        <v>6</v>
      </c>
      <c r="Z351" s="3" t="s">
        <v>42</v>
      </c>
      <c r="AE351" s="1">
        <f>N351</f>
        <v>16.26529567642978</v>
      </c>
    </row>
    <row r="352" spans="1:31" ht="13.5" customHeight="1">
      <c r="L352" s="60" t="s">
        <v>41</v>
      </c>
      <c r="N352" s="3">
        <f>N332</f>
        <v>15</v>
      </c>
      <c r="O352" s="1" t="s">
        <v>1</v>
      </c>
    </row>
    <row r="355" spans="1:31" ht="13.5" customHeight="1" thickBot="1"/>
    <row r="356" spans="1:31" ht="13.5" customHeight="1">
      <c r="B356" s="14" t="s">
        <v>40</v>
      </c>
      <c r="C356" s="15"/>
      <c r="D356" s="15"/>
      <c r="E356" s="15"/>
      <c r="F356" s="15"/>
      <c r="G356" s="15"/>
      <c r="H356" s="15" t="s">
        <v>39</v>
      </c>
      <c r="I356" s="16"/>
      <c r="J356" s="14" t="s">
        <v>38</v>
      </c>
      <c r="K356" s="15"/>
      <c r="L356" s="15"/>
      <c r="M356" s="15"/>
      <c r="N356" s="15" t="s">
        <v>37</v>
      </c>
      <c r="O356" s="15"/>
      <c r="P356" s="15"/>
      <c r="Q356" s="15"/>
      <c r="R356" s="15"/>
      <c r="S356" s="16"/>
      <c r="T356" s="14" t="s">
        <v>36</v>
      </c>
      <c r="U356" s="15"/>
      <c r="V356" s="16"/>
      <c r="W356" s="14"/>
      <c r="X356" s="15"/>
      <c r="Y356" s="15"/>
      <c r="Z356" s="16"/>
    </row>
    <row r="357" spans="1:31" ht="13.5" customHeight="1">
      <c r="B357" s="17" t="s">
        <v>35</v>
      </c>
      <c r="C357" s="18" t="s">
        <v>22</v>
      </c>
      <c r="D357" s="18"/>
      <c r="E357" s="18" t="s">
        <v>34</v>
      </c>
      <c r="F357" s="18" t="s">
        <v>33</v>
      </c>
      <c r="G357" s="18" t="s">
        <v>7</v>
      </c>
      <c r="H357" s="18" t="s">
        <v>32</v>
      </c>
      <c r="I357" s="19" t="s">
        <v>22</v>
      </c>
      <c r="J357" s="17" t="s">
        <v>31</v>
      </c>
      <c r="K357" s="18"/>
      <c r="L357" s="18" t="s">
        <v>30</v>
      </c>
      <c r="M357" s="18"/>
      <c r="N357" s="18" t="s">
        <v>29</v>
      </c>
      <c r="O357" s="18"/>
      <c r="P357" s="18" t="s">
        <v>28</v>
      </c>
      <c r="Q357" s="20" t="s">
        <v>27</v>
      </c>
      <c r="R357" s="21" t="s">
        <v>26</v>
      </c>
      <c r="S357" s="22" t="s">
        <v>7</v>
      </c>
      <c r="T357" s="23" t="s">
        <v>25</v>
      </c>
      <c r="U357" s="24" t="s">
        <v>24</v>
      </c>
      <c r="V357" s="25" t="s">
        <v>7</v>
      </c>
      <c r="W357" s="26" t="s">
        <v>23</v>
      </c>
      <c r="X357" s="4" t="s">
        <v>22</v>
      </c>
      <c r="Y357" s="4" t="s">
        <v>21</v>
      </c>
      <c r="Z357" s="5" t="s">
        <v>20</v>
      </c>
    </row>
    <row r="358" spans="1:31" ht="13.5" customHeight="1">
      <c r="B358" s="54" t="s">
        <v>3</v>
      </c>
      <c r="C358" s="28" t="s">
        <v>17</v>
      </c>
      <c r="D358" s="20" t="s">
        <v>13</v>
      </c>
      <c r="E358" s="20" t="s">
        <v>19</v>
      </c>
      <c r="F358" s="28" t="s">
        <v>19</v>
      </c>
      <c r="G358" s="20" t="s">
        <v>3</v>
      </c>
      <c r="H358" s="20" t="s">
        <v>19</v>
      </c>
      <c r="I358" s="29" t="s">
        <v>12</v>
      </c>
      <c r="J358" s="55" t="s">
        <v>18</v>
      </c>
      <c r="K358" s="20" t="s">
        <v>17</v>
      </c>
      <c r="L358" s="56" t="s">
        <v>16</v>
      </c>
      <c r="M358" s="20" t="s">
        <v>15</v>
      </c>
      <c r="N358" s="20" t="s">
        <v>14</v>
      </c>
      <c r="O358" s="20" t="s">
        <v>13</v>
      </c>
      <c r="P358" s="20" t="s">
        <v>12</v>
      </c>
      <c r="Q358" s="20" t="s">
        <v>11</v>
      </c>
      <c r="R358" s="21" t="s">
        <v>11</v>
      </c>
      <c r="S358" s="22" t="s">
        <v>10</v>
      </c>
      <c r="T358" s="23" t="s">
        <v>9</v>
      </c>
      <c r="U358" s="24" t="s">
        <v>9</v>
      </c>
      <c r="V358" s="33" t="s">
        <v>8</v>
      </c>
      <c r="W358" s="34" t="s">
        <v>7</v>
      </c>
      <c r="X358" s="4" t="s">
        <v>6</v>
      </c>
      <c r="Y358" s="6" t="s">
        <v>5</v>
      </c>
      <c r="Z358" s="7" t="s">
        <v>5</v>
      </c>
    </row>
    <row r="359" spans="1:31" ht="13.5" customHeight="1" thickBot="1">
      <c r="B359" s="57"/>
      <c r="C359" s="3">
        <f>C339</f>
        <v>1.05</v>
      </c>
      <c r="D359" s="37"/>
      <c r="E359" s="38"/>
      <c r="F359" s="38"/>
      <c r="G359" s="37"/>
      <c r="H359" s="37"/>
      <c r="I359" s="39"/>
      <c r="J359" s="58" t="s">
        <v>4</v>
      </c>
      <c r="K359" s="44"/>
      <c r="L359" s="59"/>
      <c r="M359" s="37"/>
      <c r="N359" s="37"/>
      <c r="O359" s="37"/>
      <c r="P359" s="37"/>
      <c r="Q359" s="42"/>
      <c r="R359" s="42"/>
      <c r="S359" s="52" t="s">
        <v>3</v>
      </c>
      <c r="T359" s="43"/>
      <c r="U359" s="44"/>
      <c r="V359" s="39" t="s">
        <v>3</v>
      </c>
      <c r="W359" s="45" t="s">
        <v>3</v>
      </c>
      <c r="X359" s="8" t="s">
        <v>2</v>
      </c>
      <c r="Y359" s="9" t="s">
        <v>1</v>
      </c>
      <c r="Z359" s="13" t="s">
        <v>0</v>
      </c>
    </row>
    <row r="360" spans="1:31" ht="13.5" customHeight="1">
      <c r="A360" s="1">
        <v>1</v>
      </c>
      <c r="B360" s="3">
        <f t="shared" ref="B360:B369" si="527">B340</f>
        <v>1000</v>
      </c>
      <c r="C360" s="1">
        <f t="shared" ref="C360:C369" si="528">IF(B360&lt;1,0.000001,C340*(1+AB340))</f>
        <v>3.8908457430329731E-2</v>
      </c>
      <c r="D360" s="1">
        <f t="shared" si="499"/>
        <v>0.88626964403806974</v>
      </c>
      <c r="E360" s="1">
        <f t="shared" ref="E360:E369" si="529">R360</f>
        <v>73.044716899922804</v>
      </c>
      <c r="F360" s="1">
        <f t="shared" ref="F360:F369" si="530">F340</f>
        <v>20</v>
      </c>
      <c r="G360" s="1">
        <f t="shared" ref="G360:G369" si="531">(E360-F360)*C360*(1-D360)*4200</f>
        <v>985.85226326232828</v>
      </c>
      <c r="H360" s="1">
        <f t="shared" ref="H360:H369" si="532">(E360-F360)*D360+F360</f>
        <v>67.011922364994774</v>
      </c>
      <c r="I360" s="1">
        <f t="shared" ref="I360:I369" si="533">B360*0.001*6/C360</f>
        <v>154.2081181384207</v>
      </c>
      <c r="J360" s="3">
        <f t="shared" ref="J360:J369" si="534">J340</f>
        <v>10</v>
      </c>
      <c r="K360" s="47">
        <f t="shared" ref="K360:K369" si="535">K359+C360</f>
        <v>3.8908457430329731E-2</v>
      </c>
      <c r="L360" s="3">
        <f t="shared" ref="L360:L369" si="536">L340</f>
        <v>3</v>
      </c>
      <c r="M360" s="47">
        <f t="shared" ref="M360:M369" si="537">K360/(J360*J360*3.14/4000)</f>
        <v>0.4956491392398692</v>
      </c>
      <c r="N360" s="47">
        <f t="shared" ref="N360:N369" si="538">L360*26400/J360^1.27*M360^1.83*$N$69</f>
        <v>1471.6490914067485</v>
      </c>
      <c r="O360" s="1">
        <f t="shared" ref="O360:O369" si="539">EXP(-(J360+2)*3.14/1000*$O$66/(M360*J360*J360*3.14/4000*4200)*L360)</f>
        <v>0.99310653411078786</v>
      </c>
      <c r="P360" s="1">
        <f t="shared" ref="P360:P369" si="540">L360/M360</f>
        <v>6.0526686369330127</v>
      </c>
      <c r="Q360" s="1">
        <f t="shared" ref="Q360:Q369" si="541">R361</f>
        <v>73.412917021453509</v>
      </c>
      <c r="R360" s="1">
        <f t="shared" ref="R360:R369" si="542">(Q360-F360)*O360+F360</f>
        <v>73.044716899922804</v>
      </c>
      <c r="S360" s="47">
        <f t="shared" ref="S360:S369" si="543">K360*(1-O360)*4200*(Q360-F360)</f>
        <v>60.169614768563108</v>
      </c>
      <c r="T360" s="1">
        <f t="shared" ref="T360:T369" si="544">(U359*K359+H360*C360)/K360</f>
        <v>67.011922364994774</v>
      </c>
      <c r="U360" s="47">
        <f t="shared" ref="U360:U369" si="545">(T360-F360)*O360+F360</f>
        <v>66.687847281785395</v>
      </c>
      <c r="V360" s="47">
        <f t="shared" ref="V360:V369" si="546">K360*(1-O360)*4200*(T360-F360)</f>
        <v>52.958898632987555</v>
      </c>
      <c r="W360" s="2">
        <f t="shared" si="518"/>
        <v>985.86226326232827</v>
      </c>
      <c r="X360" s="1">
        <f t="shared" ref="X360:X369" si="547">C360*3600</f>
        <v>140.07044674918703</v>
      </c>
      <c r="Y360" s="1">
        <f t="shared" ref="Y360:Y369" si="548">Y361-2*N360/1000</f>
        <v>6.0000000000000027</v>
      </c>
      <c r="Z360" s="2">
        <f t="shared" ref="Z360:Z369" si="549">-1.1-1.8*LOG10(Y360/X360/X360)</f>
        <v>5.2261751990537562</v>
      </c>
      <c r="AA360" s="3">
        <f t="shared" ref="AA360:AA369" si="550">AA340</f>
        <v>1000</v>
      </c>
      <c r="AB360" s="1">
        <f t="shared" ref="AB360" si="551">((AA360/W360)-1)*AB$23+AC360+AD360</f>
        <v>1.4340478649510713E-2</v>
      </c>
      <c r="AC360" s="1">
        <f>((N372/N371)-1)*AB$24</f>
        <v>0</v>
      </c>
      <c r="AD360" s="64">
        <f t="shared" ref="AD360" si="552">(AC$21-(X360/1000/SQRT(Y360/104))*1000/B360)*AB$21</f>
        <v>0</v>
      </c>
      <c r="AE360" s="1">
        <f t="shared" ref="AE360:AE370" si="553">AE361</f>
        <v>16.500622761240539</v>
      </c>
    </row>
    <row r="361" spans="1:31" ht="13.5" customHeight="1">
      <c r="A361" s="1">
        <v>2</v>
      </c>
      <c r="B361" s="3">
        <f t="shared" si="527"/>
        <v>1000</v>
      </c>
      <c r="C361" s="1">
        <f t="shared" si="528"/>
        <v>3.5340042109379806E-2</v>
      </c>
      <c r="D361" s="1">
        <f t="shared" si="499"/>
        <v>0.8752306892763142</v>
      </c>
      <c r="E361" s="1">
        <f t="shared" si="529"/>
        <v>73.412917021453509</v>
      </c>
      <c r="F361" s="1">
        <f t="shared" si="530"/>
        <v>20</v>
      </c>
      <c r="G361" s="1">
        <f t="shared" si="531"/>
        <v>989.16883637374917</v>
      </c>
      <c r="H361" s="1">
        <f t="shared" si="532"/>
        <v>66.748624180945328</v>
      </c>
      <c r="I361" s="1">
        <f t="shared" si="533"/>
        <v>169.77908462671314</v>
      </c>
      <c r="J361" s="3">
        <f t="shared" si="534"/>
        <v>14.142135623730951</v>
      </c>
      <c r="K361" s="47">
        <f t="shared" si="535"/>
        <v>7.4248499539709537E-2</v>
      </c>
      <c r="L361" s="3">
        <f t="shared" si="536"/>
        <v>3</v>
      </c>
      <c r="M361" s="47">
        <f t="shared" si="537"/>
        <v>0.47292037923381863</v>
      </c>
      <c r="N361" s="47">
        <f t="shared" si="538"/>
        <v>869.64747581108281</v>
      </c>
      <c r="O361" s="1">
        <f t="shared" si="539"/>
        <v>0.99513574296570351</v>
      </c>
      <c r="P361" s="1">
        <f t="shared" si="540"/>
        <v>6.3435625355378411</v>
      </c>
      <c r="Q361" s="1">
        <f t="shared" si="541"/>
        <v>73.674001159150748</v>
      </c>
      <c r="R361" s="1">
        <f t="shared" si="542"/>
        <v>73.412917021453509</v>
      </c>
      <c r="S361" s="47">
        <f t="shared" si="543"/>
        <v>81.417443006082848</v>
      </c>
      <c r="T361" s="1">
        <f t="shared" si="544"/>
        <v>66.716775249204332</v>
      </c>
      <c r="U361" s="47">
        <f t="shared" si="545"/>
        <v>66.48953284657874</v>
      </c>
      <c r="V361" s="47">
        <f t="shared" si="546"/>
        <v>70.864111192344311</v>
      </c>
      <c r="W361" s="2">
        <f t="shared" si="518"/>
        <v>989.17883637374916</v>
      </c>
      <c r="X361" s="1">
        <f t="shared" si="547"/>
        <v>127.2241515937673</v>
      </c>
      <c r="Y361" s="1">
        <f t="shared" si="548"/>
        <v>8.9432981828134999</v>
      </c>
      <c r="Z361" s="2">
        <f t="shared" si="549"/>
        <v>4.7637545484894037</v>
      </c>
      <c r="AA361" s="3">
        <f t="shared" si="550"/>
        <v>1000</v>
      </c>
      <c r="AB361" s="1">
        <f t="shared" si="493"/>
        <v>1.0939542202419439E-2</v>
      </c>
      <c r="AC361" s="1">
        <f t="shared" ref="AC361:AC369" si="554">AC360</f>
        <v>0</v>
      </c>
      <c r="AD361" s="64">
        <f t="shared" si="494"/>
        <v>0</v>
      </c>
      <c r="AE361" s="1">
        <f t="shared" si="553"/>
        <v>16.500622761240539</v>
      </c>
    </row>
    <row r="362" spans="1:31" ht="13.5" customHeight="1">
      <c r="A362" s="1">
        <v>3</v>
      </c>
      <c r="B362" s="3">
        <f t="shared" si="527"/>
        <v>1000</v>
      </c>
      <c r="C362" s="1">
        <f t="shared" si="528"/>
        <v>3.311592871103549E-2</v>
      </c>
      <c r="D362" s="1">
        <f t="shared" si="499"/>
        <v>0.86720695904599565</v>
      </c>
      <c r="E362" s="1">
        <f t="shared" si="529"/>
        <v>73.674001159150748</v>
      </c>
      <c r="F362" s="1">
        <f t="shared" si="530"/>
        <v>20</v>
      </c>
      <c r="G362" s="1">
        <f t="shared" si="531"/>
        <v>991.34658980824656</v>
      </c>
      <c r="H362" s="1">
        <f t="shared" si="532"/>
        <v>66.546467325058359</v>
      </c>
      <c r="I362" s="1">
        <f t="shared" si="533"/>
        <v>181.18169212028081</v>
      </c>
      <c r="J362" s="3">
        <f t="shared" si="534"/>
        <v>17.320508075688775</v>
      </c>
      <c r="K362" s="47">
        <f t="shared" si="535"/>
        <v>0.10736442825074502</v>
      </c>
      <c r="L362" s="3">
        <f t="shared" si="536"/>
        <v>3</v>
      </c>
      <c r="M362" s="47">
        <f t="shared" si="537"/>
        <v>0.45589990764647553</v>
      </c>
      <c r="N362" s="47">
        <f t="shared" si="538"/>
        <v>628.62896888768933</v>
      </c>
      <c r="O362" s="1">
        <f t="shared" si="539"/>
        <v>0.99597205426670987</v>
      </c>
      <c r="P362" s="1">
        <f t="shared" si="540"/>
        <v>6.5803917695160612</v>
      </c>
      <c r="Q362" s="1">
        <f t="shared" si="541"/>
        <v>73.891071470542954</v>
      </c>
      <c r="R362" s="1">
        <f t="shared" si="542"/>
        <v>73.674001159150748</v>
      </c>
      <c r="S362" s="47">
        <f t="shared" si="543"/>
        <v>97.883645465908984</v>
      </c>
      <c r="T362" s="1">
        <f t="shared" si="544"/>
        <v>66.507093952815239</v>
      </c>
      <c r="U362" s="47">
        <f t="shared" si="545"/>
        <v>66.31976590216027</v>
      </c>
      <c r="V362" s="47">
        <f t="shared" si="546"/>
        <v>84.471950026367182</v>
      </c>
      <c r="W362" s="2">
        <f t="shared" si="518"/>
        <v>991.35658980824655</v>
      </c>
      <c r="X362" s="1">
        <f t="shared" si="547"/>
        <v>119.21734335972776</v>
      </c>
      <c r="Y362" s="1">
        <f t="shared" si="548"/>
        <v>10.682593134435665</v>
      </c>
      <c r="Z362" s="2">
        <f t="shared" si="549"/>
        <v>4.5232039451102963</v>
      </c>
      <c r="AA362" s="3">
        <f t="shared" si="550"/>
        <v>1000</v>
      </c>
      <c r="AB362" s="1">
        <f t="shared" si="493"/>
        <v>8.7187700980786431E-3</v>
      </c>
      <c r="AC362" s="1">
        <f t="shared" si="554"/>
        <v>0</v>
      </c>
      <c r="AD362" s="64">
        <f t="shared" si="494"/>
        <v>0</v>
      </c>
      <c r="AE362" s="1">
        <f t="shared" si="553"/>
        <v>16.500622761240539</v>
      </c>
    </row>
    <row r="363" spans="1:31" ht="13.5" customHeight="1">
      <c r="A363" s="1">
        <v>4</v>
      </c>
      <c r="B363" s="3">
        <f t="shared" si="527"/>
        <v>1000</v>
      </c>
      <c r="C363" s="1">
        <f t="shared" si="528"/>
        <v>3.143494039257301E-2</v>
      </c>
      <c r="D363" s="1">
        <f t="shared" si="499"/>
        <v>0.86042930128858319</v>
      </c>
      <c r="E363" s="1">
        <f t="shared" si="529"/>
        <v>73.891071470542954</v>
      </c>
      <c r="F363" s="1">
        <f t="shared" si="530"/>
        <v>20</v>
      </c>
      <c r="G363" s="1">
        <f t="shared" si="531"/>
        <v>993.0543144737959</v>
      </c>
      <c r="H363" s="1">
        <f t="shared" si="532"/>
        <v>66.369456971092376</v>
      </c>
      <c r="I363" s="1">
        <f t="shared" si="533"/>
        <v>190.87041123887713</v>
      </c>
      <c r="J363" s="3">
        <f t="shared" si="534"/>
        <v>20</v>
      </c>
      <c r="K363" s="47">
        <f t="shared" si="535"/>
        <v>0.13879936864331804</v>
      </c>
      <c r="L363" s="3">
        <f t="shared" si="536"/>
        <v>3</v>
      </c>
      <c r="M363" s="47">
        <f t="shared" si="537"/>
        <v>0.44203620587043962</v>
      </c>
      <c r="N363" s="47">
        <f t="shared" si="538"/>
        <v>494.89714908938788</v>
      </c>
      <c r="O363" s="1">
        <f t="shared" si="539"/>
        <v>0.99645133439000744</v>
      </c>
      <c r="P363" s="1">
        <f t="shared" si="540"/>
        <v>6.7867743867100723</v>
      </c>
      <c r="Q363" s="1">
        <f t="shared" si="541"/>
        <v>74.082993931192007</v>
      </c>
      <c r="R363" s="1">
        <f t="shared" si="542"/>
        <v>73.891071470542954</v>
      </c>
      <c r="S363" s="47">
        <f t="shared" si="543"/>
        <v>111.88260873955723</v>
      </c>
      <c r="T363" s="1">
        <f t="shared" si="544"/>
        <v>66.331019813508647</v>
      </c>
      <c r="U363" s="47">
        <f t="shared" si="545"/>
        <v>66.166606516820565</v>
      </c>
      <c r="V363" s="47">
        <f t="shared" si="546"/>
        <v>95.845939462863839</v>
      </c>
      <c r="W363" s="2">
        <f t="shared" si="518"/>
        <v>993.06431447379589</v>
      </c>
      <c r="X363" s="1">
        <f t="shared" si="547"/>
        <v>113.16578541326284</v>
      </c>
      <c r="Y363" s="1">
        <f t="shared" si="548"/>
        <v>11.939851072211043</v>
      </c>
      <c r="Z363" s="2">
        <f t="shared" si="549"/>
        <v>4.3547764733407313</v>
      </c>
      <c r="AA363" s="3">
        <f t="shared" si="550"/>
        <v>1000</v>
      </c>
      <c r="AB363" s="1">
        <f t="shared" si="493"/>
        <v>6.9841252224225325E-3</v>
      </c>
      <c r="AC363" s="1">
        <f t="shared" si="554"/>
        <v>0</v>
      </c>
      <c r="AD363" s="64">
        <f t="shared" si="494"/>
        <v>0</v>
      </c>
      <c r="AE363" s="1">
        <f t="shared" si="553"/>
        <v>16.500622761240539</v>
      </c>
    </row>
    <row r="364" spans="1:31" ht="13.5" customHeight="1">
      <c r="A364" s="1">
        <v>5</v>
      </c>
      <c r="B364" s="3">
        <f t="shared" si="527"/>
        <v>1000</v>
      </c>
      <c r="C364" s="1">
        <f t="shared" si="528"/>
        <v>3.0062268352241937E-2</v>
      </c>
      <c r="D364" s="1">
        <f t="shared" si="499"/>
        <v>0.85436412619439694</v>
      </c>
      <c r="E364" s="1">
        <f t="shared" si="529"/>
        <v>74.082993931192007</v>
      </c>
      <c r="F364" s="1">
        <f t="shared" si="530"/>
        <v>20</v>
      </c>
      <c r="G364" s="1">
        <f t="shared" si="531"/>
        <v>994.48933216390071</v>
      </c>
      <c r="H364" s="1">
        <f t="shared" si="532"/>
        <v>66.206569851999731</v>
      </c>
      <c r="I364" s="1">
        <f t="shared" si="533"/>
        <v>199.5857374998298</v>
      </c>
      <c r="J364" s="3">
        <f t="shared" si="534"/>
        <v>22.360679774997898</v>
      </c>
      <c r="K364" s="47">
        <f t="shared" si="535"/>
        <v>0.16886163699555998</v>
      </c>
      <c r="L364" s="3">
        <f t="shared" si="536"/>
        <v>3</v>
      </c>
      <c r="M364" s="47">
        <f t="shared" si="537"/>
        <v>0.43022073119887883</v>
      </c>
      <c r="N364" s="47">
        <f t="shared" si="538"/>
        <v>408.73740483209923</v>
      </c>
      <c r="O364" s="1">
        <f t="shared" si="539"/>
        <v>0.99676959034485679</v>
      </c>
      <c r="P364" s="1">
        <f t="shared" si="540"/>
        <v>6.9731646628000012</v>
      </c>
      <c r="Q364" s="1">
        <f t="shared" si="541"/>
        <v>74.258270371672026</v>
      </c>
      <c r="R364" s="1">
        <f t="shared" si="542"/>
        <v>74.082993931192007</v>
      </c>
      <c r="S364" s="47">
        <f t="shared" si="543"/>
        <v>124.30935999808621</v>
      </c>
      <c r="T364" s="1">
        <f t="shared" si="544"/>
        <v>66.173721149414334</v>
      </c>
      <c r="U364" s="47">
        <f t="shared" si="545"/>
        <v>66.024561114799383</v>
      </c>
      <c r="V364" s="47">
        <f t="shared" si="546"/>
        <v>105.78711200146417</v>
      </c>
      <c r="W364" s="2">
        <f t="shared" si="518"/>
        <v>994.4993321639007</v>
      </c>
      <c r="X364" s="1">
        <f t="shared" si="547"/>
        <v>108.22416606807097</v>
      </c>
      <c r="Y364" s="1">
        <f t="shared" si="548"/>
        <v>12.929645370389819</v>
      </c>
      <c r="Z364" s="2">
        <f t="shared" si="549"/>
        <v>4.2227113887268626</v>
      </c>
      <c r="AA364" s="3">
        <f t="shared" si="550"/>
        <v>1000</v>
      </c>
      <c r="AB364" s="1">
        <f t="shared" si="493"/>
        <v>5.5310925389266963E-3</v>
      </c>
      <c r="AC364" s="1">
        <f t="shared" si="554"/>
        <v>0</v>
      </c>
      <c r="AD364" s="64">
        <f t="shared" si="494"/>
        <v>0</v>
      </c>
      <c r="AE364" s="1">
        <f t="shared" si="553"/>
        <v>16.500622761240539</v>
      </c>
    </row>
    <row r="365" spans="1:31" ht="13.5" customHeight="1">
      <c r="A365" s="1">
        <v>6</v>
      </c>
      <c r="B365" s="3">
        <f t="shared" si="527"/>
        <v>1000</v>
      </c>
      <c r="C365" s="1">
        <f t="shared" si="528"/>
        <v>2.8893090689813602E-2</v>
      </c>
      <c r="D365" s="1">
        <f t="shared" si="499"/>
        <v>0.84877037938100264</v>
      </c>
      <c r="E365" s="1">
        <f t="shared" si="529"/>
        <v>74.258270371672026</v>
      </c>
      <c r="F365" s="1">
        <f t="shared" si="530"/>
        <v>20</v>
      </c>
      <c r="G365" s="1">
        <f t="shared" si="531"/>
        <v>995.74033377974524</v>
      </c>
      <c r="H365" s="1">
        <f t="shared" si="532"/>
        <v>66.052812727921079</v>
      </c>
      <c r="I365" s="1">
        <f t="shared" si="533"/>
        <v>207.66210387161277</v>
      </c>
      <c r="J365" s="3">
        <f t="shared" si="534"/>
        <v>24.494897427831781</v>
      </c>
      <c r="K365" s="47">
        <f t="shared" si="535"/>
        <v>0.19775472768537358</v>
      </c>
      <c r="L365" s="3">
        <f t="shared" si="536"/>
        <v>3</v>
      </c>
      <c r="M365" s="47">
        <f t="shared" si="537"/>
        <v>0.41986141759102674</v>
      </c>
      <c r="N365" s="47">
        <f t="shared" si="538"/>
        <v>348.17138220972299</v>
      </c>
      <c r="O365" s="1">
        <f t="shared" si="539"/>
        <v>0.99699956220623176</v>
      </c>
      <c r="P365" s="1">
        <f t="shared" si="540"/>
        <v>7.1452147644635495</v>
      </c>
      <c r="Q365" s="1">
        <f t="shared" si="541"/>
        <v>74.421558873712499</v>
      </c>
      <c r="R365" s="1">
        <f t="shared" si="542"/>
        <v>74.258270371672026</v>
      </c>
      <c r="S365" s="47">
        <f t="shared" si="543"/>
        <v>135.62250767169627</v>
      </c>
      <c r="T365" s="1">
        <f t="shared" si="544"/>
        <v>66.028688836192501</v>
      </c>
      <c r="U365" s="47">
        <f t="shared" si="545"/>
        <v>65.890582618610793</v>
      </c>
      <c r="V365" s="47">
        <f t="shared" si="546"/>
        <v>114.70686128801788</v>
      </c>
      <c r="W365" s="2">
        <f t="shared" si="518"/>
        <v>995.75033377974523</v>
      </c>
      <c r="X365" s="1">
        <f t="shared" si="547"/>
        <v>104.01512648332897</v>
      </c>
      <c r="Y365" s="1">
        <f t="shared" si="548"/>
        <v>13.747120180054017</v>
      </c>
      <c r="Z365" s="2">
        <f t="shared" si="549"/>
        <v>4.1127662925838457</v>
      </c>
      <c r="AA365" s="3">
        <f t="shared" si="550"/>
        <v>1000</v>
      </c>
      <c r="AB365" s="1">
        <f t="shared" si="493"/>
        <v>4.2678029583214094E-3</v>
      </c>
      <c r="AC365" s="1">
        <f t="shared" si="554"/>
        <v>0</v>
      </c>
      <c r="AD365" s="64">
        <f t="shared" si="494"/>
        <v>0</v>
      </c>
      <c r="AE365" s="1">
        <f t="shared" si="553"/>
        <v>16.500622761240539</v>
      </c>
    </row>
    <row r="366" spans="1:31" ht="13.5" customHeight="1">
      <c r="A366" s="1">
        <v>7</v>
      </c>
      <c r="B366" s="3">
        <f t="shared" si="527"/>
        <v>1000</v>
      </c>
      <c r="C366" s="1">
        <f t="shared" si="528"/>
        <v>2.7870328267895029E-2</v>
      </c>
      <c r="D366" s="1">
        <f t="shared" si="499"/>
        <v>0.84351595679531077</v>
      </c>
      <c r="E366" s="1">
        <f t="shared" si="529"/>
        <v>74.421558873712499</v>
      </c>
      <c r="F366" s="1">
        <f t="shared" si="530"/>
        <v>20</v>
      </c>
      <c r="G366" s="1">
        <f t="shared" si="531"/>
        <v>996.85596276687659</v>
      </c>
      <c r="H366" s="1">
        <f t="shared" si="532"/>
        <v>65.905453303651939</v>
      </c>
      <c r="I366" s="1">
        <f t="shared" si="533"/>
        <v>215.28271724418997</v>
      </c>
      <c r="J366" s="3">
        <f t="shared" si="534"/>
        <v>26.457513110645905</v>
      </c>
      <c r="K366" s="47">
        <f t="shared" si="535"/>
        <v>0.22562505595326862</v>
      </c>
      <c r="L366" s="3">
        <f t="shared" si="536"/>
        <v>3</v>
      </c>
      <c r="M366" s="47">
        <f t="shared" si="537"/>
        <v>0.41060064777664901</v>
      </c>
      <c r="N366" s="47">
        <f t="shared" si="538"/>
        <v>303.07901172514903</v>
      </c>
      <c r="O366" s="1">
        <f t="shared" si="539"/>
        <v>0.9971751389139567</v>
      </c>
      <c r="P366" s="1">
        <f t="shared" si="540"/>
        <v>7.3063693792121942</v>
      </c>
      <c r="Q366" s="1">
        <f t="shared" si="541"/>
        <v>74.575727723200259</v>
      </c>
      <c r="R366" s="1">
        <f t="shared" si="542"/>
        <v>74.421558873712499</v>
      </c>
      <c r="S366" s="47">
        <f t="shared" si="543"/>
        <v>146.09429222609549</v>
      </c>
      <c r="T366" s="1">
        <f t="shared" si="544"/>
        <v>65.892419519534371</v>
      </c>
      <c r="U366" s="47">
        <f t="shared" si="545"/>
        <v>65.762779809489274</v>
      </c>
      <c r="V366" s="47">
        <f t="shared" si="546"/>
        <v>122.84986069730913</v>
      </c>
      <c r="W366" s="2">
        <f t="shared" si="518"/>
        <v>996.86596276687658</v>
      </c>
      <c r="X366" s="1">
        <f t="shared" si="547"/>
        <v>100.33318176442211</v>
      </c>
      <c r="Y366" s="1">
        <f t="shared" si="548"/>
        <v>14.443462944473463</v>
      </c>
      <c r="Z366" s="2">
        <f t="shared" si="549"/>
        <v>4.0177921084983605</v>
      </c>
      <c r="AA366" s="3">
        <f t="shared" si="550"/>
        <v>1000</v>
      </c>
      <c r="AB366" s="1">
        <f t="shared" si="493"/>
        <v>3.1438903023879305E-3</v>
      </c>
      <c r="AC366" s="1">
        <f t="shared" si="554"/>
        <v>0</v>
      </c>
      <c r="AD366" s="64">
        <f t="shared" si="494"/>
        <v>0</v>
      </c>
      <c r="AE366" s="1">
        <f t="shared" si="553"/>
        <v>16.500622761240539</v>
      </c>
    </row>
    <row r="367" spans="1:31" ht="13.5" customHeight="1">
      <c r="A367" s="1">
        <v>8</v>
      </c>
      <c r="B367" s="3">
        <f t="shared" si="527"/>
        <v>1000</v>
      </c>
      <c r="C367" s="1">
        <f t="shared" si="528"/>
        <v>2.6958993667368782E-2</v>
      </c>
      <c r="D367" s="1">
        <f t="shared" si="499"/>
        <v>0.83851959293692546</v>
      </c>
      <c r="E367" s="1">
        <f t="shared" si="529"/>
        <v>74.575727723200259</v>
      </c>
      <c r="F367" s="1">
        <f t="shared" si="530"/>
        <v>20</v>
      </c>
      <c r="G367" s="1">
        <f t="shared" si="531"/>
        <v>997.86625898768318</v>
      </c>
      <c r="H367" s="1">
        <f t="shared" si="532"/>
        <v>65.762816994694361</v>
      </c>
      <c r="I367" s="1">
        <f t="shared" si="533"/>
        <v>222.5602362621722</v>
      </c>
      <c r="J367" s="3">
        <f t="shared" si="534"/>
        <v>28.284271247461902</v>
      </c>
      <c r="K367" s="47">
        <f t="shared" si="535"/>
        <v>0.25258404962063741</v>
      </c>
      <c r="L367" s="3">
        <f t="shared" si="536"/>
        <v>3</v>
      </c>
      <c r="M367" s="47">
        <f t="shared" si="537"/>
        <v>0.40220390066980471</v>
      </c>
      <c r="N367" s="47">
        <f t="shared" si="538"/>
        <v>268.10798082909662</v>
      </c>
      <c r="O367" s="1">
        <f t="shared" si="539"/>
        <v>0.997314476171553</v>
      </c>
      <c r="P367" s="1">
        <f t="shared" si="540"/>
        <v>7.4589032950799119</v>
      </c>
      <c r="Q367" s="1">
        <f t="shared" si="541"/>
        <v>74.722686802565192</v>
      </c>
      <c r="R367" s="1">
        <f t="shared" si="542"/>
        <v>74.575727723200259</v>
      </c>
      <c r="S367" s="47">
        <f t="shared" si="543"/>
        <v>155.90198145696272</v>
      </c>
      <c r="T367" s="1">
        <f t="shared" si="544"/>
        <v>65.76278377836897</v>
      </c>
      <c r="U367" s="47">
        <f t="shared" si="545"/>
        <v>65.639886732076093</v>
      </c>
      <c r="V367" s="47">
        <f t="shared" si="546"/>
        <v>130.37570128409402</v>
      </c>
      <c r="W367" s="2">
        <f t="shared" si="518"/>
        <v>997.87625898768317</v>
      </c>
      <c r="X367" s="1">
        <f t="shared" si="547"/>
        <v>97.052377202527623</v>
      </c>
      <c r="Y367" s="1">
        <f t="shared" si="548"/>
        <v>15.049620967923762</v>
      </c>
      <c r="Z367" s="2">
        <f t="shared" si="549"/>
        <v>3.9336762270281178</v>
      </c>
      <c r="AA367" s="3">
        <f t="shared" si="550"/>
        <v>1000</v>
      </c>
      <c r="AB367" s="1">
        <f t="shared" si="493"/>
        <v>2.1282608872479347E-3</v>
      </c>
      <c r="AC367" s="1">
        <f t="shared" si="554"/>
        <v>0</v>
      </c>
      <c r="AD367" s="64">
        <f t="shared" si="494"/>
        <v>0</v>
      </c>
      <c r="AE367" s="1">
        <f t="shared" si="553"/>
        <v>16.500622761240539</v>
      </c>
    </row>
    <row r="368" spans="1:31" ht="13.5" customHeight="1">
      <c r="A368" s="1">
        <v>9</v>
      </c>
      <c r="B368" s="3">
        <f t="shared" si="527"/>
        <v>1000</v>
      </c>
      <c r="C368" s="1">
        <f t="shared" si="528"/>
        <v>2.6135874484123148E-2</v>
      </c>
      <c r="D368" s="1">
        <f t="shared" si="499"/>
        <v>0.8337272748064114</v>
      </c>
      <c r="E368" s="1">
        <f t="shared" si="529"/>
        <v>74.722686802565192</v>
      </c>
      <c r="F368" s="1">
        <f t="shared" si="530"/>
        <v>20</v>
      </c>
      <c r="G368" s="1">
        <f t="shared" si="531"/>
        <v>998.79130637921821</v>
      </c>
      <c r="H368" s="1">
        <f t="shared" si="532"/>
        <v>65.623796537987459</v>
      </c>
      <c r="I368" s="1">
        <f t="shared" si="533"/>
        <v>229.56951387430487</v>
      </c>
      <c r="J368" s="3">
        <f t="shared" si="534"/>
        <v>30</v>
      </c>
      <c r="K368" s="47">
        <f t="shared" si="535"/>
        <v>0.27871992410476054</v>
      </c>
      <c r="L368" s="3">
        <f t="shared" si="536"/>
        <v>3</v>
      </c>
      <c r="M368" s="47">
        <f t="shared" si="537"/>
        <v>0.39450803128770068</v>
      </c>
      <c r="N368" s="47">
        <f t="shared" si="538"/>
        <v>240.14492028197753</v>
      </c>
      <c r="O368" s="1">
        <f t="shared" si="539"/>
        <v>0.99742827496081976</v>
      </c>
      <c r="P368" s="1">
        <f t="shared" si="540"/>
        <v>7.6044079260130619</v>
      </c>
      <c r="Q368" s="1">
        <f t="shared" si="541"/>
        <v>74.863781362840115</v>
      </c>
      <c r="R368" s="1">
        <f t="shared" si="542"/>
        <v>74.722686802565192</v>
      </c>
      <c r="S368" s="47">
        <f t="shared" si="543"/>
        <v>165.16863355197225</v>
      </c>
      <c r="T368" s="1">
        <f t="shared" si="544"/>
        <v>65.638377936842033</v>
      </c>
      <c r="U368" s="47">
        <f t="shared" si="545"/>
        <v>65.521008577554284</v>
      </c>
      <c r="V368" s="47">
        <f t="shared" si="546"/>
        <v>137.39535143420267</v>
      </c>
      <c r="W368" s="2">
        <f t="shared" si="518"/>
        <v>998.8013063792182</v>
      </c>
      <c r="X368" s="1">
        <f t="shared" si="547"/>
        <v>94.089148142843328</v>
      </c>
      <c r="Y368" s="1">
        <f t="shared" si="548"/>
        <v>15.585836929581955</v>
      </c>
      <c r="Z368" s="2">
        <f t="shared" si="549"/>
        <v>3.8578281012077302</v>
      </c>
      <c r="AA368" s="3">
        <f t="shared" si="550"/>
        <v>1000</v>
      </c>
      <c r="AB368" s="1">
        <f t="shared" si="493"/>
        <v>1.2001322116079738E-3</v>
      </c>
      <c r="AC368" s="1">
        <f t="shared" si="554"/>
        <v>0</v>
      </c>
      <c r="AD368" s="64">
        <f t="shared" si="494"/>
        <v>0</v>
      </c>
      <c r="AE368" s="1">
        <f t="shared" si="553"/>
        <v>16.500622761240539</v>
      </c>
    </row>
    <row r="369" spans="1:31" ht="13.5" customHeight="1">
      <c r="A369" s="1">
        <v>10</v>
      </c>
      <c r="B369" s="3">
        <f t="shared" si="527"/>
        <v>1000</v>
      </c>
      <c r="C369" s="1">
        <f t="shared" si="528"/>
        <v>2.5384669988853734E-2</v>
      </c>
      <c r="D369" s="1">
        <f t="shared" si="499"/>
        <v>0.82910105241241649</v>
      </c>
      <c r="E369" s="1">
        <f t="shared" si="529"/>
        <v>74.863781362840115</v>
      </c>
      <c r="F369" s="1">
        <f t="shared" si="530"/>
        <v>20</v>
      </c>
      <c r="G369" s="1">
        <f t="shared" si="531"/>
        <v>999.64532099159146</v>
      </c>
      <c r="H369" s="1">
        <f t="shared" si="532"/>
        <v>65.487618867255463</v>
      </c>
      <c r="I369" s="1">
        <f t="shared" si="533"/>
        <v>236.36312792857132</v>
      </c>
      <c r="J369" s="3">
        <f t="shared" si="534"/>
        <v>31.622776601683793</v>
      </c>
      <c r="K369" s="47">
        <f t="shared" si="535"/>
        <v>0.30410459409361429</v>
      </c>
      <c r="L369" s="3">
        <f t="shared" si="536"/>
        <v>3</v>
      </c>
      <c r="M369" s="47">
        <f t="shared" si="537"/>
        <v>0.38739438738040033</v>
      </c>
      <c r="N369" s="47">
        <f t="shared" si="538"/>
        <v>217.24799554731436</v>
      </c>
      <c r="O369" s="1">
        <f t="shared" si="539"/>
        <v>0.99752329750618385</v>
      </c>
      <c r="P369" s="1">
        <f t="shared" si="540"/>
        <v>7.744046113538972</v>
      </c>
      <c r="Q369" s="1">
        <f t="shared" si="541"/>
        <v>75</v>
      </c>
      <c r="R369" s="1">
        <f t="shared" si="542"/>
        <v>74.863781362840115</v>
      </c>
      <c r="S369" s="47">
        <f t="shared" si="543"/>
        <v>173.98379611827133</v>
      </c>
      <c r="T369" s="1">
        <f t="shared" si="544"/>
        <v>65.518221422103764</v>
      </c>
      <c r="U369" s="47">
        <f t="shared" si="545"/>
        <v>65.405486329593572</v>
      </c>
      <c r="V369" s="47">
        <f t="shared" si="546"/>
        <v>143.98969010126604</v>
      </c>
      <c r="W369" s="2">
        <f t="shared" si="518"/>
        <v>999.65532099159145</v>
      </c>
      <c r="X369" s="1">
        <f t="shared" si="547"/>
        <v>91.384811959873446</v>
      </c>
      <c r="Y369" s="1">
        <f t="shared" si="548"/>
        <v>16.06612677014591</v>
      </c>
      <c r="Z369" s="2">
        <f t="shared" si="549"/>
        <v>3.7885063401232029</v>
      </c>
      <c r="AA369" s="3">
        <f t="shared" si="550"/>
        <v>1000</v>
      </c>
      <c r="AB369" s="1">
        <f t="shared" si="493"/>
        <v>3.4479785299068588E-4</v>
      </c>
      <c r="AC369" s="1">
        <f t="shared" si="554"/>
        <v>0</v>
      </c>
      <c r="AD369" s="64">
        <f t="shared" si="494"/>
        <v>0</v>
      </c>
      <c r="AE369" s="1">
        <f t="shared" si="553"/>
        <v>16.500622761240539</v>
      </c>
    </row>
    <row r="370" spans="1:31" ht="13.5" customHeight="1">
      <c r="K370" s="47"/>
      <c r="L370" s="47"/>
      <c r="M370" s="47"/>
      <c r="N370" s="47">
        <f>SUM(N360:N369)</f>
        <v>5250.3113806202691</v>
      </c>
      <c r="O370" s="2" t="s">
        <v>46</v>
      </c>
      <c r="P370" s="2"/>
      <c r="Q370" s="2"/>
      <c r="R370" s="49">
        <f>R350</f>
        <v>75</v>
      </c>
      <c r="S370" s="50" t="s">
        <v>45</v>
      </c>
      <c r="T370" s="2"/>
      <c r="U370" s="11">
        <f>U369</f>
        <v>65.405486329593572</v>
      </c>
      <c r="V370" s="47"/>
      <c r="W370" s="2"/>
      <c r="Y370" s="1">
        <f>N371</f>
        <v>16.500622761240539</v>
      </c>
      <c r="AE370" s="1">
        <f t="shared" si="553"/>
        <v>16.500622761240539</v>
      </c>
    </row>
    <row r="371" spans="1:31" ht="13.5" customHeight="1">
      <c r="K371" s="47"/>
      <c r="L371" s="2" t="s">
        <v>44</v>
      </c>
      <c r="M371" s="2"/>
      <c r="N371" s="47">
        <f>N370*2/1000+Y371</f>
        <v>16.500622761240539</v>
      </c>
      <c r="O371" s="2" t="s">
        <v>1</v>
      </c>
      <c r="P371" s="1">
        <f>SUM(P360:P369)</f>
        <v>69.995503469804675</v>
      </c>
      <c r="Q371" s="1" t="s">
        <v>43</v>
      </c>
      <c r="S371" s="47"/>
      <c r="U371" s="47"/>
      <c r="V371" s="47"/>
      <c r="W371" s="2"/>
      <c r="Y371" s="3">
        <f>Y351</f>
        <v>6</v>
      </c>
      <c r="Z371" s="3" t="s">
        <v>42</v>
      </c>
      <c r="AE371" s="1">
        <f>N371</f>
        <v>16.500622761240539</v>
      </c>
    </row>
    <row r="372" spans="1:31" ht="13.5" customHeight="1">
      <c r="L372" s="60" t="s">
        <v>41</v>
      </c>
      <c r="N372" s="3">
        <f>N352</f>
        <v>15</v>
      </c>
      <c r="O372" s="1" t="s">
        <v>1</v>
      </c>
    </row>
    <row r="375" spans="1:31" ht="13.5" customHeight="1" thickBot="1"/>
    <row r="376" spans="1:31" ht="13.5" customHeight="1">
      <c r="B376" s="14" t="s">
        <v>40</v>
      </c>
      <c r="C376" s="15"/>
      <c r="D376" s="15"/>
      <c r="E376" s="15"/>
      <c r="F376" s="15"/>
      <c r="G376" s="15"/>
      <c r="H376" s="15" t="s">
        <v>39</v>
      </c>
      <c r="I376" s="16"/>
      <c r="J376" s="14" t="s">
        <v>38</v>
      </c>
      <c r="K376" s="15"/>
      <c r="L376" s="15"/>
      <c r="M376" s="15"/>
      <c r="N376" s="15" t="s">
        <v>37</v>
      </c>
      <c r="O376" s="15"/>
      <c r="P376" s="15"/>
      <c r="Q376" s="15"/>
      <c r="R376" s="15"/>
      <c r="S376" s="16"/>
      <c r="T376" s="14" t="s">
        <v>36</v>
      </c>
      <c r="U376" s="15"/>
      <c r="V376" s="16"/>
      <c r="W376" s="14"/>
      <c r="X376" s="15"/>
      <c r="Y376" s="15"/>
      <c r="Z376" s="16"/>
    </row>
    <row r="377" spans="1:31" ht="13.5" customHeight="1">
      <c r="B377" s="17" t="s">
        <v>35</v>
      </c>
      <c r="C377" s="18" t="s">
        <v>22</v>
      </c>
      <c r="D377" s="18"/>
      <c r="E377" s="18" t="s">
        <v>34</v>
      </c>
      <c r="F377" s="18" t="s">
        <v>33</v>
      </c>
      <c r="G377" s="18" t="s">
        <v>7</v>
      </c>
      <c r="H377" s="18" t="s">
        <v>32</v>
      </c>
      <c r="I377" s="19" t="s">
        <v>22</v>
      </c>
      <c r="J377" s="17" t="s">
        <v>31</v>
      </c>
      <c r="K377" s="18"/>
      <c r="L377" s="18" t="s">
        <v>30</v>
      </c>
      <c r="M377" s="18"/>
      <c r="N377" s="18" t="s">
        <v>29</v>
      </c>
      <c r="O377" s="18"/>
      <c r="P377" s="18" t="s">
        <v>28</v>
      </c>
      <c r="Q377" s="20" t="s">
        <v>27</v>
      </c>
      <c r="R377" s="21" t="s">
        <v>26</v>
      </c>
      <c r="S377" s="22" t="s">
        <v>7</v>
      </c>
      <c r="T377" s="23" t="s">
        <v>25</v>
      </c>
      <c r="U377" s="24" t="s">
        <v>24</v>
      </c>
      <c r="V377" s="25" t="s">
        <v>7</v>
      </c>
      <c r="W377" s="26" t="s">
        <v>23</v>
      </c>
      <c r="X377" s="4" t="s">
        <v>22</v>
      </c>
      <c r="Y377" s="4" t="s">
        <v>21</v>
      </c>
      <c r="Z377" s="5" t="s">
        <v>20</v>
      </c>
    </row>
    <row r="378" spans="1:31" ht="13.5" customHeight="1">
      <c r="B378" s="54" t="s">
        <v>3</v>
      </c>
      <c r="C378" s="28" t="s">
        <v>17</v>
      </c>
      <c r="D378" s="20" t="s">
        <v>13</v>
      </c>
      <c r="E378" s="20" t="s">
        <v>19</v>
      </c>
      <c r="F378" s="28" t="s">
        <v>19</v>
      </c>
      <c r="G378" s="20" t="s">
        <v>3</v>
      </c>
      <c r="H378" s="20" t="s">
        <v>19</v>
      </c>
      <c r="I378" s="29" t="s">
        <v>12</v>
      </c>
      <c r="J378" s="55" t="s">
        <v>18</v>
      </c>
      <c r="K378" s="20" t="s">
        <v>17</v>
      </c>
      <c r="L378" s="56" t="s">
        <v>16</v>
      </c>
      <c r="M378" s="20" t="s">
        <v>15</v>
      </c>
      <c r="N378" s="20" t="s">
        <v>14</v>
      </c>
      <c r="O378" s="20" t="s">
        <v>13</v>
      </c>
      <c r="P378" s="20" t="s">
        <v>12</v>
      </c>
      <c r="Q378" s="20" t="s">
        <v>11</v>
      </c>
      <c r="R378" s="21" t="s">
        <v>11</v>
      </c>
      <c r="S378" s="22" t="s">
        <v>10</v>
      </c>
      <c r="T378" s="23" t="s">
        <v>9</v>
      </c>
      <c r="U378" s="24" t="s">
        <v>9</v>
      </c>
      <c r="V378" s="33" t="s">
        <v>8</v>
      </c>
      <c r="W378" s="34" t="s">
        <v>7</v>
      </c>
      <c r="X378" s="4" t="s">
        <v>6</v>
      </c>
      <c r="Y378" s="6" t="s">
        <v>5</v>
      </c>
      <c r="Z378" s="7" t="s">
        <v>5</v>
      </c>
    </row>
    <row r="379" spans="1:31" ht="13.5" customHeight="1" thickBot="1">
      <c r="B379" s="57"/>
      <c r="C379" s="3">
        <f>C359</f>
        <v>1.05</v>
      </c>
      <c r="D379" s="37"/>
      <c r="E379" s="38"/>
      <c r="F379" s="38"/>
      <c r="G379" s="37"/>
      <c r="H379" s="37"/>
      <c r="I379" s="39"/>
      <c r="J379" s="58" t="s">
        <v>4</v>
      </c>
      <c r="K379" s="44"/>
      <c r="L379" s="59"/>
      <c r="M379" s="37"/>
      <c r="N379" s="37"/>
      <c r="O379" s="37"/>
      <c r="P379" s="37"/>
      <c r="Q379" s="42"/>
      <c r="R379" s="42"/>
      <c r="S379" s="52" t="s">
        <v>3</v>
      </c>
      <c r="T379" s="43"/>
      <c r="U379" s="44"/>
      <c r="V379" s="39" t="s">
        <v>3</v>
      </c>
      <c r="W379" s="45" t="s">
        <v>3</v>
      </c>
      <c r="X379" s="8" t="s">
        <v>2</v>
      </c>
      <c r="Y379" s="9" t="s">
        <v>1</v>
      </c>
      <c r="Z379" s="13" t="s">
        <v>0</v>
      </c>
    </row>
    <row r="380" spans="1:31" ht="13.5" customHeight="1">
      <c r="A380" s="1">
        <v>1</v>
      </c>
      <c r="B380" s="3">
        <f t="shared" ref="B380:B389" si="555">B360</f>
        <v>1000</v>
      </c>
      <c r="C380" s="1">
        <f t="shared" ref="C380:C389" si="556">IF(B380&lt;1,0.000001,C360*(1+AB360))</f>
        <v>3.9466423333394771E-2</v>
      </c>
      <c r="D380" s="1">
        <f t="shared" si="499"/>
        <v>0.88776900566627126</v>
      </c>
      <c r="E380" s="1">
        <f t="shared" ref="E380:E389" si="557">R380</f>
        <v>73.06459207916015</v>
      </c>
      <c r="F380" s="1">
        <f t="shared" ref="F380:F389" si="558">F360</f>
        <v>20</v>
      </c>
      <c r="G380" s="1">
        <f t="shared" ref="G380:G389" si="559">(E380-F380)*C380*(1-D380)*4200</f>
        <v>987.17625629587451</v>
      </c>
      <c r="H380" s="1">
        <f t="shared" ref="H380:H389" si="560">(E380-F380)*D380+F380</f>
        <v>67.109100146202309</v>
      </c>
      <c r="I380" s="1">
        <f t="shared" ref="I380:I389" si="561">B380*0.001*6/C380</f>
        <v>152.02796436136794</v>
      </c>
      <c r="J380" s="3">
        <f t="shared" ref="J380:J389" si="562">J360</f>
        <v>10</v>
      </c>
      <c r="K380" s="47">
        <f t="shared" ref="K380:K389" si="563">K379+C380</f>
        <v>3.9466423333394771E-2</v>
      </c>
      <c r="L380" s="3">
        <f t="shared" ref="L380:L389" si="564">L360</f>
        <v>3</v>
      </c>
      <c r="M380" s="47">
        <f t="shared" ref="M380:M389" si="565">K380/(J380*J380*3.14/4000)</f>
        <v>0.50275698513878686</v>
      </c>
      <c r="N380" s="47">
        <f t="shared" ref="N380:N389" si="566">L380*26400/J380^1.27*M380^1.83*$N$69</f>
        <v>1510.4993469723536</v>
      </c>
      <c r="O380" s="1">
        <f t="shared" ref="O380:O389" si="567">EXP(-(J380+2)*3.14/1000*$O$66/(M380*J380*J380*3.14/4000*4200)*L380)</f>
        <v>0.99320366017965034</v>
      </c>
      <c r="P380" s="1">
        <f t="shared" ref="P380:P389" si="568">L380/M380</f>
        <v>5.967097601183692</v>
      </c>
      <c r="Q380" s="1">
        <f t="shared" ref="Q380:Q389" si="569">R381</f>
        <v>73.427704917601545</v>
      </c>
      <c r="R380" s="1">
        <f t="shared" ref="R380:R389" si="570">(Q380-F380)*O380+F380</f>
        <v>73.06459207916015</v>
      </c>
      <c r="S380" s="47">
        <f t="shared" ref="S380:S389" si="571">K380*(1-O380)*4200*(Q380-F380)</f>
        <v>60.189212998817084</v>
      </c>
      <c r="T380" s="1">
        <f t="shared" ref="T380:T389" si="572">(U379*K379+H380*C380)/K380</f>
        <v>67.109100146202309</v>
      </c>
      <c r="U380" s="47">
        <f t="shared" ref="U380:U389" si="573">(T380-F380)*O380+F380</f>
        <v>66.788930692977829</v>
      </c>
      <c r="V380" s="47">
        <f t="shared" ref="V380:V389" si="574">K380*(1-O380)*4200*(T380-F380)</f>
        <v>53.070961353390359</v>
      </c>
      <c r="W380" s="2">
        <f t="shared" si="518"/>
        <v>987.1862562958745</v>
      </c>
      <c r="X380" s="1">
        <f t="shared" ref="X380:X389" si="575">C380*3600</f>
        <v>142.07912400022119</v>
      </c>
      <c r="Y380" s="1">
        <f t="shared" ref="Y380:Y389" si="576">Y381-2*N380/1000</f>
        <v>6.0000000000000036</v>
      </c>
      <c r="Z380" s="2">
        <f t="shared" ref="Z380:Z389" si="577">-1.1-1.8*LOG10(Y380/X380/X380)</f>
        <v>5.2484367240696059</v>
      </c>
      <c r="AA380" s="3">
        <f t="shared" ref="AA380:AA389" si="578">AA360</f>
        <v>1000</v>
      </c>
      <c r="AB380" s="1">
        <f t="shared" ref="AB380" si="579">((AA380/W380)-1)*AB$23+AC380+AD380</f>
        <v>1.2980066955353697E-2</v>
      </c>
      <c r="AC380" s="1">
        <f>((N392/N391)-1)*AB$24</f>
        <v>0</v>
      </c>
      <c r="AD380" s="64">
        <f t="shared" ref="AD380" si="580">(AC$21-(X380/1000/SQRT(Y380/104))*1000/B380)*AB$21</f>
        <v>0</v>
      </c>
      <c r="AE380" s="1">
        <f t="shared" ref="AE380:AE390" si="581">AE381</f>
        <v>16.717800351575022</v>
      </c>
    </row>
    <row r="381" spans="1:31" ht="13.5" customHeight="1">
      <c r="A381" s="1">
        <v>2</v>
      </c>
      <c r="B381" s="3">
        <f t="shared" si="555"/>
        <v>1000</v>
      </c>
      <c r="C381" s="1">
        <f t="shared" si="556"/>
        <v>3.5726645991470643E-2</v>
      </c>
      <c r="D381" s="1">
        <f t="shared" si="499"/>
        <v>0.87648184483997893</v>
      </c>
      <c r="E381" s="1">
        <f t="shared" si="557"/>
        <v>73.427704917601545</v>
      </c>
      <c r="F381" s="1">
        <f t="shared" si="558"/>
        <v>20</v>
      </c>
      <c r="G381" s="1">
        <f t="shared" si="559"/>
        <v>990.23632198388918</v>
      </c>
      <c r="H381" s="1">
        <f t="shared" si="560"/>
        <v>66.828413371745427</v>
      </c>
      <c r="I381" s="1">
        <f t="shared" si="561"/>
        <v>167.94187737165242</v>
      </c>
      <c r="J381" s="3">
        <f t="shared" si="562"/>
        <v>14.142135623730951</v>
      </c>
      <c r="K381" s="47">
        <f t="shared" si="563"/>
        <v>7.5193069324865414E-2</v>
      </c>
      <c r="L381" s="3">
        <f t="shared" si="564"/>
        <v>3</v>
      </c>
      <c r="M381" s="47">
        <f t="shared" si="565"/>
        <v>0.47893674729213631</v>
      </c>
      <c r="N381" s="47">
        <f t="shared" si="566"/>
        <v>890.00035689451033</v>
      </c>
      <c r="O381" s="1">
        <f t="shared" si="567"/>
        <v>0.99519670041493935</v>
      </c>
      <c r="P381" s="1">
        <f t="shared" si="568"/>
        <v>6.2638751713284062</v>
      </c>
      <c r="Q381" s="1">
        <f t="shared" si="569"/>
        <v>73.685572807190056</v>
      </c>
      <c r="R381" s="1">
        <f t="shared" si="570"/>
        <v>73.427704917601545</v>
      </c>
      <c r="S381" s="47">
        <f t="shared" si="571"/>
        <v>81.437488013642337</v>
      </c>
      <c r="T381" s="1">
        <f t="shared" si="572"/>
        <v>66.807690183710008</v>
      </c>
      <c r="U381" s="47">
        <f t="shared" si="573"/>
        <v>66.582858824872943</v>
      </c>
      <c r="V381" s="47">
        <f t="shared" si="574"/>
        <v>71.004191796043273</v>
      </c>
      <c r="W381" s="2">
        <f t="shared" si="518"/>
        <v>990.24632198388917</v>
      </c>
      <c r="X381" s="1">
        <f t="shared" si="575"/>
        <v>128.61592556929432</v>
      </c>
      <c r="Y381" s="1">
        <f t="shared" si="576"/>
        <v>9.0209986939447102</v>
      </c>
      <c r="Z381" s="2">
        <f t="shared" si="577"/>
        <v>4.7740027748386495</v>
      </c>
      <c r="AA381" s="3">
        <f t="shared" si="578"/>
        <v>1000</v>
      </c>
      <c r="AB381" s="1">
        <f t="shared" si="493"/>
        <v>9.8497492993157021E-3</v>
      </c>
      <c r="AC381" s="1">
        <f t="shared" ref="AC381:AC389" si="582">AC380</f>
        <v>0</v>
      </c>
      <c r="AD381" s="64">
        <f t="shared" si="494"/>
        <v>0</v>
      </c>
      <c r="AE381" s="1">
        <f t="shared" si="581"/>
        <v>16.717800351575022</v>
      </c>
    </row>
    <row r="382" spans="1:31" ht="13.5" customHeight="1">
      <c r="A382" s="1">
        <v>3</v>
      </c>
      <c r="B382" s="3">
        <f t="shared" si="555"/>
        <v>1000</v>
      </c>
      <c r="C382" s="1">
        <f t="shared" si="556"/>
        <v>3.3404658880051369E-2</v>
      </c>
      <c r="D382" s="1">
        <f t="shared" si="499"/>
        <v>0.8682656801488251</v>
      </c>
      <c r="E382" s="1">
        <f t="shared" si="557"/>
        <v>73.685572807190056</v>
      </c>
      <c r="F382" s="1">
        <f t="shared" si="558"/>
        <v>20</v>
      </c>
      <c r="G382" s="1">
        <f t="shared" si="559"/>
        <v>992.23114828476935</v>
      </c>
      <c r="H382" s="1">
        <f t="shared" si="560"/>
        <v>66.613340387614144</v>
      </c>
      <c r="I382" s="1">
        <f t="shared" si="561"/>
        <v>179.61566443604926</v>
      </c>
      <c r="J382" s="3">
        <f t="shared" si="562"/>
        <v>17.320508075688775</v>
      </c>
      <c r="K382" s="47">
        <f t="shared" si="563"/>
        <v>0.10859772820491678</v>
      </c>
      <c r="L382" s="3">
        <f t="shared" si="564"/>
        <v>3</v>
      </c>
      <c r="M382" s="47">
        <f t="shared" si="565"/>
        <v>0.46113685012703504</v>
      </c>
      <c r="N382" s="47">
        <f t="shared" si="566"/>
        <v>641.90651625614339</v>
      </c>
      <c r="O382" s="1">
        <f t="shared" si="567"/>
        <v>0.99601770679359514</v>
      </c>
      <c r="P382" s="1">
        <f t="shared" si="568"/>
        <v>6.5056609533017218</v>
      </c>
      <c r="Q382" s="1">
        <f t="shared" si="569"/>
        <v>73.900219284269525</v>
      </c>
      <c r="R382" s="1">
        <f t="shared" si="570"/>
        <v>73.685572807190056</v>
      </c>
      <c r="S382" s="47">
        <f t="shared" si="571"/>
        <v>97.902503067684648</v>
      </c>
      <c r="T382" s="1">
        <f t="shared" si="572"/>
        <v>66.592234952922126</v>
      </c>
      <c r="U382" s="47">
        <f t="shared" si="573"/>
        <v>66.406691012197882</v>
      </c>
      <c r="V382" s="47">
        <f t="shared" si="574"/>
        <v>84.628531868329318</v>
      </c>
      <c r="W382" s="2">
        <f t="shared" si="518"/>
        <v>992.24114828476934</v>
      </c>
      <c r="X382" s="1">
        <f t="shared" si="575"/>
        <v>120.25677196818492</v>
      </c>
      <c r="Y382" s="1">
        <f t="shared" si="576"/>
        <v>10.80099940773373</v>
      </c>
      <c r="Z382" s="2">
        <f t="shared" si="577"/>
        <v>4.5281592550326639</v>
      </c>
      <c r="AA382" s="3">
        <f t="shared" si="578"/>
        <v>1000</v>
      </c>
      <c r="AB382" s="1">
        <f t="shared" si="493"/>
        <v>7.8195222286869814E-3</v>
      </c>
      <c r="AC382" s="1">
        <f t="shared" si="582"/>
        <v>0</v>
      </c>
      <c r="AD382" s="64">
        <f t="shared" si="494"/>
        <v>0</v>
      </c>
      <c r="AE382" s="1">
        <f t="shared" si="581"/>
        <v>16.717800351575022</v>
      </c>
    </row>
    <row r="383" spans="1:31" ht="13.5" customHeight="1">
      <c r="A383" s="1">
        <v>4</v>
      </c>
      <c r="B383" s="3">
        <f t="shared" si="555"/>
        <v>1000</v>
      </c>
      <c r="C383" s="1">
        <f t="shared" si="556"/>
        <v>3.1654485952634127E-2</v>
      </c>
      <c r="D383" s="1">
        <f t="shared" si="499"/>
        <v>0.86131866229479892</v>
      </c>
      <c r="E383" s="1">
        <f t="shared" si="557"/>
        <v>73.900219284269525</v>
      </c>
      <c r="F383" s="1">
        <f t="shared" si="558"/>
        <v>20</v>
      </c>
      <c r="G383" s="1">
        <f t="shared" si="559"/>
        <v>993.78653903186171</v>
      </c>
      <c r="H383" s="1">
        <f t="shared" si="560"/>
        <v>66.425264771323356</v>
      </c>
      <c r="I383" s="1">
        <f t="shared" si="561"/>
        <v>189.54659409026701</v>
      </c>
      <c r="J383" s="3">
        <f t="shared" si="562"/>
        <v>20</v>
      </c>
      <c r="K383" s="47">
        <f t="shared" si="563"/>
        <v>0.1402522141575509</v>
      </c>
      <c r="L383" s="3">
        <f t="shared" si="564"/>
        <v>3</v>
      </c>
      <c r="M383" s="47">
        <f t="shared" si="565"/>
        <v>0.4466631024125825</v>
      </c>
      <c r="N383" s="47">
        <f t="shared" si="566"/>
        <v>504.41807804077359</v>
      </c>
      <c r="O383" s="1">
        <f t="shared" si="567"/>
        <v>0.99648802970354611</v>
      </c>
      <c r="P383" s="1">
        <f t="shared" si="568"/>
        <v>6.7164715056962585</v>
      </c>
      <c r="Q383" s="1">
        <f t="shared" si="569"/>
        <v>74.09018239818171</v>
      </c>
      <c r="R383" s="1">
        <f t="shared" si="570"/>
        <v>73.900219284269525</v>
      </c>
      <c r="S383" s="47">
        <f t="shared" si="571"/>
        <v>111.89953880467878</v>
      </c>
      <c r="T383" s="1">
        <f t="shared" si="572"/>
        <v>66.41088305152401</v>
      </c>
      <c r="U383" s="47">
        <f t="shared" si="573"/>
        <v>66.247889408814871</v>
      </c>
      <c r="V383" s="47">
        <f t="shared" si="574"/>
        <v>96.012920990963408</v>
      </c>
      <c r="W383" s="2">
        <f t="shared" si="518"/>
        <v>993.7965390318617</v>
      </c>
      <c r="X383" s="1">
        <f t="shared" si="575"/>
        <v>113.95614942948286</v>
      </c>
      <c r="Y383" s="1">
        <f t="shared" si="576"/>
        <v>12.084812440246017</v>
      </c>
      <c r="Z383" s="2">
        <f t="shared" si="577"/>
        <v>4.3562241117660108</v>
      </c>
      <c r="AA383" s="3">
        <f t="shared" si="578"/>
        <v>1000</v>
      </c>
      <c r="AB383" s="1">
        <f t="shared" si="493"/>
        <v>6.2421841136433009E-3</v>
      </c>
      <c r="AC383" s="1">
        <f t="shared" si="582"/>
        <v>0</v>
      </c>
      <c r="AD383" s="64">
        <f t="shared" si="494"/>
        <v>0</v>
      </c>
      <c r="AE383" s="1">
        <f t="shared" si="581"/>
        <v>16.717800351575022</v>
      </c>
    </row>
    <row r="384" spans="1:31" ht="13.5" customHeight="1">
      <c r="A384" s="1">
        <v>5</v>
      </c>
      <c r="B384" s="3">
        <f t="shared" si="555"/>
        <v>1000</v>
      </c>
      <c r="C384" s="1">
        <f t="shared" si="556"/>
        <v>3.0228545540428232E-2</v>
      </c>
      <c r="D384" s="1">
        <f t="shared" si="499"/>
        <v>0.85509745880688659</v>
      </c>
      <c r="E384" s="1">
        <f t="shared" si="557"/>
        <v>74.09018239818171</v>
      </c>
      <c r="F384" s="1">
        <f t="shared" si="558"/>
        <v>20</v>
      </c>
      <c r="G384" s="1">
        <f t="shared" si="559"/>
        <v>995.08685575170648</v>
      </c>
      <c r="H384" s="1">
        <f t="shared" si="560"/>
        <v>66.252377515086167</v>
      </c>
      <c r="I384" s="1">
        <f t="shared" si="561"/>
        <v>198.48788265302034</v>
      </c>
      <c r="J384" s="3">
        <f t="shared" si="562"/>
        <v>22.360679774997898</v>
      </c>
      <c r="K384" s="47">
        <f t="shared" si="563"/>
        <v>0.17048075969797913</v>
      </c>
      <c r="L384" s="3">
        <f t="shared" si="564"/>
        <v>3</v>
      </c>
      <c r="M384" s="47">
        <f t="shared" si="565"/>
        <v>0.43434588458083845</v>
      </c>
      <c r="N384" s="47">
        <f t="shared" si="566"/>
        <v>415.93799390527511</v>
      </c>
      <c r="O384" s="1">
        <f t="shared" si="567"/>
        <v>0.99680022167551152</v>
      </c>
      <c r="P384" s="1">
        <f t="shared" si="568"/>
        <v>6.9069377804629664</v>
      </c>
      <c r="Q384" s="1">
        <f t="shared" si="569"/>
        <v>74.263814575865624</v>
      </c>
      <c r="R384" s="1">
        <f t="shared" si="570"/>
        <v>74.09018239818171</v>
      </c>
      <c r="S384" s="47">
        <f t="shared" si="571"/>
        <v>124.32397135018824</v>
      </c>
      <c r="T384" s="1">
        <f t="shared" si="572"/>
        <v>66.248685210787201</v>
      </c>
      <c r="U384" s="47">
        <f t="shared" si="573"/>
        <v>66.100699670313631</v>
      </c>
      <c r="V384" s="47">
        <f t="shared" si="574"/>
        <v>105.96048692984944</v>
      </c>
      <c r="W384" s="2">
        <f t="shared" si="518"/>
        <v>995.09685575170647</v>
      </c>
      <c r="X384" s="1">
        <f t="shared" si="575"/>
        <v>108.82276394554164</v>
      </c>
      <c r="Y384" s="1">
        <f t="shared" si="576"/>
        <v>13.093648596327563</v>
      </c>
      <c r="Z384" s="2">
        <f t="shared" si="577"/>
        <v>4.2214818815662429</v>
      </c>
      <c r="AA384" s="3">
        <f t="shared" si="578"/>
        <v>1000</v>
      </c>
      <c r="AB384" s="1">
        <f t="shared" ref="AB384:AB447" si="583">((AA384/W384)-1)*AB$23+AC384+AD384</f>
        <v>4.9273035282475508E-3</v>
      </c>
      <c r="AC384" s="1">
        <f t="shared" si="582"/>
        <v>0</v>
      </c>
      <c r="AD384" s="64">
        <f t="shared" ref="AD384:AD447" si="584">(AC$21-(X384/1000/SQRT(Y384/104))*1000/B384)*AB$21</f>
        <v>0</v>
      </c>
      <c r="AE384" s="1">
        <f t="shared" si="581"/>
        <v>16.717800351575022</v>
      </c>
    </row>
    <row r="385" spans="1:31" ht="13.5" customHeight="1">
      <c r="A385" s="1">
        <v>6</v>
      </c>
      <c r="B385" s="3">
        <f t="shared" si="555"/>
        <v>1000</v>
      </c>
      <c r="C385" s="1">
        <f t="shared" si="556"/>
        <v>2.9016400707734636E-2</v>
      </c>
      <c r="D385" s="1">
        <f t="shared" si="499"/>
        <v>0.84935667210905597</v>
      </c>
      <c r="E385" s="1">
        <f t="shared" si="557"/>
        <v>74.263814575865624</v>
      </c>
      <c r="F385" s="1">
        <f t="shared" si="558"/>
        <v>20</v>
      </c>
      <c r="G385" s="1">
        <f t="shared" si="559"/>
        <v>996.21494290498583</v>
      </c>
      <c r="H385" s="1">
        <f t="shared" si="560"/>
        <v>66.089332964100109</v>
      </c>
      <c r="I385" s="1">
        <f t="shared" si="561"/>
        <v>206.77960924356256</v>
      </c>
      <c r="J385" s="3">
        <f t="shared" si="562"/>
        <v>24.494897427831781</v>
      </c>
      <c r="K385" s="47">
        <f t="shared" si="563"/>
        <v>0.19949716040571377</v>
      </c>
      <c r="L385" s="3">
        <f t="shared" si="564"/>
        <v>3</v>
      </c>
      <c r="M385" s="47">
        <f t="shared" si="565"/>
        <v>0.42356085011828831</v>
      </c>
      <c r="N385" s="47">
        <f t="shared" si="566"/>
        <v>353.80591175404913</v>
      </c>
      <c r="O385" s="1">
        <f t="shared" si="567"/>
        <v>0.99702572938770373</v>
      </c>
      <c r="P385" s="1">
        <f t="shared" si="568"/>
        <v>7.0828075804508055</v>
      </c>
      <c r="Q385" s="1">
        <f t="shared" si="569"/>
        <v>74.42569131008311</v>
      </c>
      <c r="R385" s="1">
        <f t="shared" si="570"/>
        <v>74.263814575865624</v>
      </c>
      <c r="S385" s="47">
        <f t="shared" si="571"/>
        <v>135.63458501098563</v>
      </c>
      <c r="T385" s="1">
        <f t="shared" si="572"/>
        <v>66.099046409176736</v>
      </c>
      <c r="U385" s="47">
        <f t="shared" si="573"/>
        <v>65.961935370187035</v>
      </c>
      <c r="V385" s="47">
        <f t="shared" si="574"/>
        <v>114.88370434263035</v>
      </c>
      <c r="W385" s="2">
        <f t="shared" si="518"/>
        <v>996.22494290498582</v>
      </c>
      <c r="X385" s="1">
        <f t="shared" si="575"/>
        <v>104.45904254784469</v>
      </c>
      <c r="Y385" s="1">
        <f t="shared" si="576"/>
        <v>13.925524584138113</v>
      </c>
      <c r="Z385" s="2">
        <f t="shared" si="577"/>
        <v>4.1093449312952508</v>
      </c>
      <c r="AA385" s="3">
        <f t="shared" si="578"/>
        <v>1000</v>
      </c>
      <c r="AB385" s="1">
        <f t="shared" si="583"/>
        <v>3.7893621534972333E-3</v>
      </c>
      <c r="AC385" s="1">
        <f t="shared" si="582"/>
        <v>0</v>
      </c>
      <c r="AD385" s="64">
        <f t="shared" si="584"/>
        <v>0</v>
      </c>
      <c r="AE385" s="1">
        <f t="shared" si="581"/>
        <v>16.717800351575022</v>
      </c>
    </row>
    <row r="386" spans="1:31" ht="13.5" customHeight="1">
      <c r="A386" s="1">
        <v>7</v>
      </c>
      <c r="B386" s="3">
        <f t="shared" si="555"/>
        <v>1000</v>
      </c>
      <c r="C386" s="1">
        <f t="shared" si="556"/>
        <v>2.7957949522660831E-2</v>
      </c>
      <c r="D386" s="1">
        <f t="shared" si="499"/>
        <v>0.84396185286819725</v>
      </c>
      <c r="E386" s="1">
        <f t="shared" si="557"/>
        <v>74.42569131008311</v>
      </c>
      <c r="F386" s="1">
        <f t="shared" si="558"/>
        <v>20</v>
      </c>
      <c r="G386" s="1">
        <f t="shared" si="559"/>
        <v>997.21624710880178</v>
      </c>
      <c r="H386" s="1">
        <f t="shared" si="560"/>
        <v>65.933207281690287</v>
      </c>
      <c r="I386" s="1">
        <f t="shared" si="561"/>
        <v>214.60801319269871</v>
      </c>
      <c r="J386" s="3">
        <f t="shared" si="562"/>
        <v>26.457513110645905</v>
      </c>
      <c r="K386" s="47">
        <f t="shared" si="563"/>
        <v>0.22745510992837462</v>
      </c>
      <c r="L386" s="3">
        <f t="shared" si="564"/>
        <v>3</v>
      </c>
      <c r="M386" s="47">
        <f t="shared" si="565"/>
        <v>0.413931046275477</v>
      </c>
      <c r="N386" s="47">
        <f t="shared" si="566"/>
        <v>307.59281130630023</v>
      </c>
      <c r="O386" s="1">
        <f t="shared" si="567"/>
        <v>0.99719783525327299</v>
      </c>
      <c r="P386" s="1">
        <f t="shared" si="568"/>
        <v>7.2475839321398894</v>
      </c>
      <c r="Q386" s="1">
        <f t="shared" si="569"/>
        <v>74.578629621934368</v>
      </c>
      <c r="R386" s="1">
        <f t="shared" si="570"/>
        <v>74.42569131008311</v>
      </c>
      <c r="S386" s="47">
        <f t="shared" si="571"/>
        <v>146.10372224442639</v>
      </c>
      <c r="T386" s="1">
        <f t="shared" si="572"/>
        <v>65.95840421870696</v>
      </c>
      <c r="U386" s="47">
        <f t="shared" si="573"/>
        <v>65.829621198589479</v>
      </c>
      <c r="V386" s="47">
        <f t="shared" si="574"/>
        <v>123.02789519047391</v>
      </c>
      <c r="W386" s="2">
        <f t="shared" si="518"/>
        <v>997.22624710880177</v>
      </c>
      <c r="X386" s="1">
        <f t="shared" si="575"/>
        <v>100.64861828157899</v>
      </c>
      <c r="Y386" s="1">
        <f t="shared" si="576"/>
        <v>14.633136407646212</v>
      </c>
      <c r="Z386" s="2">
        <f t="shared" si="577"/>
        <v>4.0125007840897382</v>
      </c>
      <c r="AA386" s="3">
        <f t="shared" si="578"/>
        <v>1000</v>
      </c>
      <c r="AB386" s="1">
        <f t="shared" si="583"/>
        <v>2.7814679960942446E-3</v>
      </c>
      <c r="AC386" s="1">
        <f t="shared" si="582"/>
        <v>0</v>
      </c>
      <c r="AD386" s="64">
        <f t="shared" si="584"/>
        <v>0</v>
      </c>
      <c r="AE386" s="1">
        <f t="shared" si="581"/>
        <v>16.717800351575022</v>
      </c>
    </row>
    <row r="387" spans="1:31" ht="13.5" customHeight="1">
      <c r="A387" s="1">
        <v>8</v>
      </c>
      <c r="B387" s="3">
        <f t="shared" si="555"/>
        <v>1000</v>
      </c>
      <c r="C387" s="1">
        <f t="shared" si="556"/>
        <v>2.7016369439150607E-2</v>
      </c>
      <c r="D387" s="1">
        <f t="shared" si="499"/>
        <v>0.83883031670220043</v>
      </c>
      <c r="E387" s="1">
        <f t="shared" si="557"/>
        <v>74.578629621934368</v>
      </c>
      <c r="F387" s="1">
        <f t="shared" si="558"/>
        <v>20</v>
      </c>
      <c r="G387" s="1">
        <f t="shared" si="559"/>
        <v>998.11884751396633</v>
      </c>
      <c r="H387" s="1">
        <f t="shared" si="560"/>
        <v>65.782209170939296</v>
      </c>
      <c r="I387" s="1">
        <f t="shared" si="561"/>
        <v>222.08757596071132</v>
      </c>
      <c r="J387" s="3">
        <f t="shared" si="562"/>
        <v>28.284271247461902</v>
      </c>
      <c r="K387" s="47">
        <f t="shared" si="563"/>
        <v>0.25447147936752523</v>
      </c>
      <c r="L387" s="3">
        <f t="shared" si="564"/>
        <v>3</v>
      </c>
      <c r="M387" s="47">
        <f t="shared" si="565"/>
        <v>0.40520936205019936</v>
      </c>
      <c r="N387" s="47">
        <f t="shared" si="566"/>
        <v>271.78562609235985</v>
      </c>
      <c r="O387" s="1">
        <f t="shared" si="567"/>
        <v>0.99733436828616395</v>
      </c>
      <c r="P387" s="1">
        <f t="shared" si="568"/>
        <v>7.4035801759889868</v>
      </c>
      <c r="Q387" s="1">
        <f t="shared" si="569"/>
        <v>74.724504997980958</v>
      </c>
      <c r="R387" s="1">
        <f t="shared" si="570"/>
        <v>74.578629621934368</v>
      </c>
      <c r="S387" s="47">
        <f t="shared" si="571"/>
        <v>155.90871553266103</v>
      </c>
      <c r="T387" s="1">
        <f t="shared" si="572"/>
        <v>65.824587625247432</v>
      </c>
      <c r="U387" s="47">
        <f t="shared" si="573"/>
        <v>65.702436151200118</v>
      </c>
      <c r="V387" s="47">
        <f t="shared" si="574"/>
        <v>130.55307849252895</v>
      </c>
      <c r="W387" s="2">
        <f t="shared" si="518"/>
        <v>998.12884751396632</v>
      </c>
      <c r="X387" s="1">
        <f t="shared" si="575"/>
        <v>97.258929980942185</v>
      </c>
      <c r="Y387" s="1">
        <f t="shared" si="576"/>
        <v>15.248322030258812</v>
      </c>
      <c r="Z387" s="2">
        <f t="shared" si="577"/>
        <v>3.9267464546130344</v>
      </c>
      <c r="AA387" s="3">
        <f t="shared" si="578"/>
        <v>1000</v>
      </c>
      <c r="AB387" s="1">
        <f t="shared" si="583"/>
        <v>1.874660261242056E-3</v>
      </c>
      <c r="AC387" s="1">
        <f t="shared" si="582"/>
        <v>0</v>
      </c>
      <c r="AD387" s="64">
        <f t="shared" si="584"/>
        <v>0</v>
      </c>
      <c r="AE387" s="1">
        <f t="shared" si="581"/>
        <v>16.717800351575022</v>
      </c>
    </row>
    <row r="388" spans="1:31" ht="13.5" customHeight="1">
      <c r="A388" s="1">
        <v>9</v>
      </c>
      <c r="B388" s="3">
        <f t="shared" si="555"/>
        <v>1000</v>
      </c>
      <c r="C388" s="1">
        <f t="shared" si="556"/>
        <v>2.6167240988970088E-2</v>
      </c>
      <c r="D388" s="1">
        <f t="shared" si="499"/>
        <v>0.8339071251072443</v>
      </c>
      <c r="E388" s="1">
        <f t="shared" si="557"/>
        <v>74.724504997980958</v>
      </c>
      <c r="F388" s="1">
        <f t="shared" si="558"/>
        <v>20</v>
      </c>
      <c r="G388" s="1">
        <f t="shared" si="559"/>
        <v>998.94152971539404</v>
      </c>
      <c r="H388" s="1">
        <f t="shared" si="560"/>
        <v>65.635154635783323</v>
      </c>
      <c r="I388" s="1">
        <f t="shared" si="561"/>
        <v>229.29433036249776</v>
      </c>
      <c r="J388" s="3">
        <f t="shared" si="562"/>
        <v>30</v>
      </c>
      <c r="K388" s="47">
        <f t="shared" si="563"/>
        <v>0.28063872035649534</v>
      </c>
      <c r="L388" s="3">
        <f t="shared" si="564"/>
        <v>3</v>
      </c>
      <c r="M388" s="47">
        <f t="shared" si="565"/>
        <v>0.3972239495491795</v>
      </c>
      <c r="N388" s="47">
        <f t="shared" si="566"/>
        <v>243.17897819025069</v>
      </c>
      <c r="O388" s="1">
        <f t="shared" si="567"/>
        <v>0.99744583600535053</v>
      </c>
      <c r="P388" s="1">
        <f t="shared" si="568"/>
        <v>7.5524147106557482</v>
      </c>
      <c r="Q388" s="1">
        <f t="shared" si="569"/>
        <v>74.864638281659438</v>
      </c>
      <c r="R388" s="1">
        <f t="shared" si="570"/>
        <v>74.724504997980958</v>
      </c>
      <c r="S388" s="47">
        <f t="shared" si="571"/>
        <v>165.1726667257079</v>
      </c>
      <c r="T388" s="1">
        <f t="shared" si="572"/>
        <v>65.696162706018441</v>
      </c>
      <c r="U388" s="47">
        <f t="shared" si="573"/>
        <v>65.579447212541083</v>
      </c>
      <c r="V388" s="47">
        <f t="shared" si="574"/>
        <v>137.57052428810101</v>
      </c>
      <c r="W388" s="2">
        <f t="shared" si="518"/>
        <v>998.95152971539403</v>
      </c>
      <c r="X388" s="1">
        <f t="shared" si="575"/>
        <v>94.202067560292321</v>
      </c>
      <c r="Y388" s="1">
        <f t="shared" si="576"/>
        <v>15.791893282443532</v>
      </c>
      <c r="Z388" s="2">
        <f t="shared" si="577"/>
        <v>3.8494360046019813</v>
      </c>
      <c r="AA388" s="3">
        <f t="shared" si="578"/>
        <v>1000</v>
      </c>
      <c r="AB388" s="1">
        <f t="shared" si="583"/>
        <v>1.0495707283262323E-3</v>
      </c>
      <c r="AC388" s="1">
        <f t="shared" si="582"/>
        <v>0</v>
      </c>
      <c r="AD388" s="64">
        <f t="shared" si="584"/>
        <v>0</v>
      </c>
      <c r="AE388" s="1">
        <f t="shared" si="581"/>
        <v>16.717800351575022</v>
      </c>
    </row>
    <row r="389" spans="1:31" ht="13.5" customHeight="1">
      <c r="A389" s="1">
        <v>10</v>
      </c>
      <c r="B389" s="3">
        <f t="shared" si="555"/>
        <v>1000</v>
      </c>
      <c r="C389" s="1">
        <f t="shared" si="556"/>
        <v>2.5393422568564767E-2</v>
      </c>
      <c r="D389" s="1">
        <f t="shared" si="499"/>
        <v>0.82915369135426797</v>
      </c>
      <c r="E389" s="1">
        <f t="shared" si="557"/>
        <v>74.864638281659438</v>
      </c>
      <c r="F389" s="1">
        <f t="shared" si="558"/>
        <v>20</v>
      </c>
      <c r="G389" s="1">
        <f t="shared" si="559"/>
        <v>999.69760160302621</v>
      </c>
      <c r="H389" s="1">
        <f t="shared" si="560"/>
        <v>65.491217356054605</v>
      </c>
      <c r="I389" s="1">
        <f t="shared" si="561"/>
        <v>236.28165852001254</v>
      </c>
      <c r="J389" s="3">
        <f t="shared" si="562"/>
        <v>31.622776601683793</v>
      </c>
      <c r="K389" s="47">
        <f t="shared" si="563"/>
        <v>0.30603214292506009</v>
      </c>
      <c r="L389" s="3">
        <f t="shared" si="564"/>
        <v>3</v>
      </c>
      <c r="M389" s="47">
        <f t="shared" si="565"/>
        <v>0.38984986359880264</v>
      </c>
      <c r="N389" s="47">
        <f t="shared" si="566"/>
        <v>219.77455637549386</v>
      </c>
      <c r="O389" s="1">
        <f t="shared" si="567"/>
        <v>0.99753887784835338</v>
      </c>
      <c r="P389" s="1">
        <f t="shared" si="568"/>
        <v>7.6952701029730823</v>
      </c>
      <c r="Q389" s="1">
        <f t="shared" si="569"/>
        <v>75</v>
      </c>
      <c r="R389" s="1">
        <f t="shared" si="570"/>
        <v>74.864638281659438</v>
      </c>
      <c r="S389" s="47">
        <f t="shared" si="571"/>
        <v>173.98515428188134</v>
      </c>
      <c r="T389" s="1">
        <f t="shared" si="572"/>
        <v>65.572126223289729</v>
      </c>
      <c r="U389" s="47">
        <f t="shared" si="573"/>
        <v>65.459967653943949</v>
      </c>
      <c r="V389" s="47">
        <f t="shared" si="574"/>
        <v>144.16133476204425</v>
      </c>
      <c r="W389" s="2">
        <f t="shared" si="518"/>
        <v>999.70760160302621</v>
      </c>
      <c r="X389" s="1">
        <f t="shared" si="575"/>
        <v>91.416321246833164</v>
      </c>
      <c r="Y389" s="1">
        <f t="shared" si="576"/>
        <v>16.278251238824033</v>
      </c>
      <c r="Z389" s="2">
        <f t="shared" si="577"/>
        <v>3.7787915211281962</v>
      </c>
      <c r="AA389" s="3">
        <f t="shared" si="578"/>
        <v>1000</v>
      </c>
      <c r="AB389" s="1">
        <f t="shared" si="583"/>
        <v>2.9248391880276614E-4</v>
      </c>
      <c r="AC389" s="1">
        <f t="shared" si="582"/>
        <v>0</v>
      </c>
      <c r="AD389" s="64">
        <f t="shared" si="584"/>
        <v>0</v>
      </c>
      <c r="AE389" s="1">
        <f t="shared" si="581"/>
        <v>16.717800351575022</v>
      </c>
    </row>
    <row r="390" spans="1:31" ht="13.5" customHeight="1">
      <c r="K390" s="47"/>
      <c r="L390" s="47"/>
      <c r="M390" s="47"/>
      <c r="N390" s="47">
        <f>SUM(N380:N389)</f>
        <v>5358.9001757875103</v>
      </c>
      <c r="O390" s="2" t="s">
        <v>46</v>
      </c>
      <c r="P390" s="2"/>
      <c r="Q390" s="2"/>
      <c r="R390" s="49">
        <f>R370</f>
        <v>75</v>
      </c>
      <c r="S390" s="50" t="s">
        <v>45</v>
      </c>
      <c r="T390" s="2"/>
      <c r="U390" s="11">
        <f>U389</f>
        <v>65.459967653943949</v>
      </c>
      <c r="V390" s="47"/>
      <c r="W390" s="2"/>
      <c r="Y390" s="1">
        <f>N391</f>
        <v>16.717800351575022</v>
      </c>
      <c r="AE390" s="1">
        <f t="shared" si="581"/>
        <v>16.717800351575022</v>
      </c>
    </row>
    <row r="391" spans="1:31" ht="13.5" customHeight="1">
      <c r="K391" s="47"/>
      <c r="L391" s="2" t="s">
        <v>44</v>
      </c>
      <c r="M391" s="2"/>
      <c r="N391" s="47">
        <f>N390*2/1000+Y391</f>
        <v>16.717800351575022</v>
      </c>
      <c r="O391" s="2" t="s">
        <v>1</v>
      </c>
      <c r="P391" s="1">
        <f>SUM(P380:P389)</f>
        <v>69.341699514181556</v>
      </c>
      <c r="Q391" s="1" t="s">
        <v>43</v>
      </c>
      <c r="S391" s="47"/>
      <c r="U391" s="47"/>
      <c r="V391" s="47"/>
      <c r="W391" s="2"/>
      <c r="Y391" s="3">
        <f>Y371</f>
        <v>6</v>
      </c>
      <c r="Z391" s="3" t="s">
        <v>42</v>
      </c>
      <c r="AE391" s="1">
        <f>N391</f>
        <v>16.717800351575022</v>
      </c>
    </row>
    <row r="392" spans="1:31" ht="13.5" customHeight="1">
      <c r="L392" s="60" t="s">
        <v>41</v>
      </c>
      <c r="N392" s="3">
        <f>N372</f>
        <v>15</v>
      </c>
      <c r="O392" s="1" t="s">
        <v>1</v>
      </c>
    </row>
    <row r="395" spans="1:31" ht="13.5" customHeight="1" thickBot="1"/>
    <row r="396" spans="1:31" ht="13.5" customHeight="1">
      <c r="B396" s="14" t="s">
        <v>40</v>
      </c>
      <c r="C396" s="15"/>
      <c r="D396" s="15"/>
      <c r="E396" s="15"/>
      <c r="F396" s="15"/>
      <c r="G396" s="15"/>
      <c r="H396" s="15" t="s">
        <v>39</v>
      </c>
      <c r="I396" s="16"/>
      <c r="J396" s="14" t="s">
        <v>38</v>
      </c>
      <c r="K396" s="15"/>
      <c r="L396" s="15"/>
      <c r="M396" s="15"/>
      <c r="N396" s="15" t="s">
        <v>37</v>
      </c>
      <c r="O396" s="15"/>
      <c r="P396" s="15"/>
      <c r="Q396" s="15"/>
      <c r="R396" s="15"/>
      <c r="S396" s="16"/>
      <c r="T396" s="14" t="s">
        <v>36</v>
      </c>
      <c r="U396" s="15"/>
      <c r="V396" s="16"/>
      <c r="W396" s="14"/>
      <c r="X396" s="15"/>
      <c r="Y396" s="15"/>
      <c r="Z396" s="16"/>
    </row>
    <row r="397" spans="1:31" ht="13.5" customHeight="1">
      <c r="B397" s="17" t="s">
        <v>35</v>
      </c>
      <c r="C397" s="18" t="s">
        <v>22</v>
      </c>
      <c r="D397" s="18"/>
      <c r="E397" s="18" t="s">
        <v>34</v>
      </c>
      <c r="F397" s="18" t="s">
        <v>33</v>
      </c>
      <c r="G397" s="18" t="s">
        <v>7</v>
      </c>
      <c r="H397" s="18" t="s">
        <v>32</v>
      </c>
      <c r="I397" s="19" t="s">
        <v>22</v>
      </c>
      <c r="J397" s="17" t="s">
        <v>31</v>
      </c>
      <c r="K397" s="18"/>
      <c r="L397" s="18" t="s">
        <v>30</v>
      </c>
      <c r="M397" s="18"/>
      <c r="N397" s="18" t="s">
        <v>29</v>
      </c>
      <c r="O397" s="18"/>
      <c r="P397" s="18" t="s">
        <v>28</v>
      </c>
      <c r="Q397" s="20" t="s">
        <v>27</v>
      </c>
      <c r="R397" s="21" t="s">
        <v>26</v>
      </c>
      <c r="S397" s="22" t="s">
        <v>7</v>
      </c>
      <c r="T397" s="23" t="s">
        <v>25</v>
      </c>
      <c r="U397" s="24" t="s">
        <v>24</v>
      </c>
      <c r="V397" s="25" t="s">
        <v>7</v>
      </c>
      <c r="W397" s="26" t="s">
        <v>23</v>
      </c>
      <c r="X397" s="4" t="s">
        <v>22</v>
      </c>
      <c r="Y397" s="4" t="s">
        <v>21</v>
      </c>
      <c r="Z397" s="5" t="s">
        <v>20</v>
      </c>
    </row>
    <row r="398" spans="1:31" ht="13.5" customHeight="1">
      <c r="B398" s="54" t="s">
        <v>3</v>
      </c>
      <c r="C398" s="28" t="s">
        <v>17</v>
      </c>
      <c r="D398" s="20" t="s">
        <v>13</v>
      </c>
      <c r="E398" s="20" t="s">
        <v>19</v>
      </c>
      <c r="F398" s="28" t="s">
        <v>19</v>
      </c>
      <c r="G398" s="20" t="s">
        <v>3</v>
      </c>
      <c r="H398" s="20" t="s">
        <v>19</v>
      </c>
      <c r="I398" s="29" t="s">
        <v>12</v>
      </c>
      <c r="J398" s="55" t="s">
        <v>18</v>
      </c>
      <c r="K398" s="20" t="s">
        <v>17</v>
      </c>
      <c r="L398" s="56" t="s">
        <v>16</v>
      </c>
      <c r="M398" s="20" t="s">
        <v>15</v>
      </c>
      <c r="N398" s="20" t="s">
        <v>14</v>
      </c>
      <c r="O398" s="20" t="s">
        <v>13</v>
      </c>
      <c r="P398" s="20" t="s">
        <v>12</v>
      </c>
      <c r="Q398" s="20" t="s">
        <v>11</v>
      </c>
      <c r="R398" s="21" t="s">
        <v>11</v>
      </c>
      <c r="S398" s="22" t="s">
        <v>10</v>
      </c>
      <c r="T398" s="23" t="s">
        <v>9</v>
      </c>
      <c r="U398" s="24" t="s">
        <v>9</v>
      </c>
      <c r="V398" s="33" t="s">
        <v>8</v>
      </c>
      <c r="W398" s="34" t="s">
        <v>7</v>
      </c>
      <c r="X398" s="4" t="s">
        <v>6</v>
      </c>
      <c r="Y398" s="6" t="s">
        <v>5</v>
      </c>
      <c r="Z398" s="7" t="s">
        <v>5</v>
      </c>
    </row>
    <row r="399" spans="1:31" ht="13.5" customHeight="1" thickBot="1">
      <c r="B399" s="57"/>
      <c r="C399" s="3">
        <f>C379</f>
        <v>1.05</v>
      </c>
      <c r="D399" s="37"/>
      <c r="E399" s="38"/>
      <c r="F399" s="38"/>
      <c r="G399" s="37"/>
      <c r="H399" s="37"/>
      <c r="I399" s="39"/>
      <c r="J399" s="58" t="s">
        <v>4</v>
      </c>
      <c r="K399" s="44"/>
      <c r="L399" s="59"/>
      <c r="M399" s="37"/>
      <c r="N399" s="37"/>
      <c r="O399" s="37"/>
      <c r="P399" s="37"/>
      <c r="Q399" s="42"/>
      <c r="R399" s="42"/>
      <c r="S399" s="52" t="s">
        <v>3</v>
      </c>
      <c r="T399" s="43"/>
      <c r="U399" s="44"/>
      <c r="V399" s="39" t="s">
        <v>3</v>
      </c>
      <c r="W399" s="45" t="s">
        <v>3</v>
      </c>
      <c r="X399" s="8" t="s">
        <v>2</v>
      </c>
      <c r="Y399" s="9" t="s">
        <v>1</v>
      </c>
      <c r="Z399" s="13" t="s">
        <v>0</v>
      </c>
    </row>
    <row r="400" spans="1:31" ht="13.5" customHeight="1">
      <c r="A400" s="1">
        <v>1</v>
      </c>
      <c r="B400" s="3">
        <f t="shared" ref="B400:B409" si="585">B380</f>
        <v>1000</v>
      </c>
      <c r="C400" s="1">
        <f t="shared" ref="C400:C409" si="586">IF(B400&lt;1,0.000001,C380*(1+AB380))</f>
        <v>3.9978700150750571E-2</v>
      </c>
      <c r="D400" s="1">
        <f t="shared" si="499"/>
        <v>0.88911124334500669</v>
      </c>
      <c r="E400" s="1">
        <f t="shared" ref="E400:E409" si="587">R400</f>
        <v>73.08235142299705</v>
      </c>
      <c r="F400" s="1">
        <f t="shared" ref="F400:F409" si="588">F380</f>
        <v>20</v>
      </c>
      <c r="G400" s="1">
        <f t="shared" ref="G400:G409" si="589">(E400-F400)*C400*(1-D400)*4200</f>
        <v>988.36106059491715</v>
      </c>
      <c r="H400" s="1">
        <f t="shared" ref="H400:H409" si="590">(E400-F400)*D400+F400</f>
        <v>67.196115473377489</v>
      </c>
      <c r="I400" s="1">
        <f t="shared" ref="I400:I409" si="591">B400*0.001*6/C400</f>
        <v>150.07991699018143</v>
      </c>
      <c r="J400" s="3">
        <f t="shared" ref="J400:J409" si="592">J380</f>
        <v>10</v>
      </c>
      <c r="K400" s="47">
        <f t="shared" ref="K400:K409" si="593">K399+C400</f>
        <v>3.9978700150750571E-2</v>
      </c>
      <c r="L400" s="3">
        <f t="shared" ref="L400:L409" si="594">L380</f>
        <v>3</v>
      </c>
      <c r="M400" s="47">
        <f t="shared" ref="M400:M409" si="595">K400/(J400*J400*3.14/4000)</f>
        <v>0.5092828044681601</v>
      </c>
      <c r="N400" s="47">
        <f t="shared" ref="N400:N409" si="596">L400*26400/J400^1.27*M400^1.83*$N$69</f>
        <v>1546.5721596867661</v>
      </c>
      <c r="O400" s="1">
        <f t="shared" ref="O400:O409" si="597">EXP(-(J400+2)*3.14/1000*$O$66/(M400*J400*J400*3.14/4000*4200)*L400)</f>
        <v>0.99329045392073601</v>
      </c>
      <c r="P400" s="1">
        <f t="shared" ref="P400:P409" si="598">L400/M400</f>
        <v>5.8906367418646219</v>
      </c>
      <c r="Q400" s="1">
        <f t="shared" ref="Q400:Q409" si="599">R401</f>
        <v>73.440915709467788</v>
      </c>
      <c r="R400" s="1">
        <f t="shared" ref="R400:R409" si="600">(Q400-F400)*O400+F400</f>
        <v>73.08235142299705</v>
      </c>
      <c r="S400" s="47">
        <f t="shared" ref="S400:S409" si="601">K400*(1-O400)*4200*(Q400-F400)</f>
        <v>60.206723193042016</v>
      </c>
      <c r="T400" s="1">
        <f t="shared" ref="T400:T409" si="602">(U399*K399+H400*C400)/K400</f>
        <v>67.196115473377489</v>
      </c>
      <c r="U400" s="47">
        <f t="shared" ref="U400:U409" si="603">(T400-F400)*O400+F400</f>
        <v>66.879450961846601</v>
      </c>
      <c r="V400" s="47">
        <f t="shared" ref="V400:V409" si="604">K400*(1-O400)*4200*(T400-F400)</f>
        <v>53.171309330484974</v>
      </c>
      <c r="W400" s="2">
        <f t="shared" si="518"/>
        <v>988.37106059491714</v>
      </c>
      <c r="X400" s="1">
        <f t="shared" ref="X400:X409" si="605">C400*3600</f>
        <v>143.92332054270204</v>
      </c>
      <c r="Y400" s="1">
        <f t="shared" ref="Y400:Y409" si="606">Y401-2*N400/1000</f>
        <v>6</v>
      </c>
      <c r="Z400" s="2">
        <f t="shared" ref="Z400:Z409" si="607">-1.1-1.8*LOG10(Y400/X400/X400)</f>
        <v>5.2685999624828153</v>
      </c>
      <c r="AA400" s="3">
        <f t="shared" ref="AA400:AA409" si="608">AA380</f>
        <v>1000</v>
      </c>
      <c r="AB400" s="1">
        <f t="shared" ref="AB400" si="609">((AA400/W400)-1)*AB$23+AC400+AD400</f>
        <v>1.1765762747123709E-2</v>
      </c>
      <c r="AC400" s="1">
        <f>((N412/N411)-1)*AB$24</f>
        <v>0</v>
      </c>
      <c r="AD400" s="64">
        <f t="shared" ref="AD400" si="610">(AC$21-(X400/1000/SQRT(Y400/104))*1000/B400)*AB$21</f>
        <v>0</v>
      </c>
      <c r="AE400" s="1">
        <f t="shared" ref="AE400:AE410" si="611">AE401</f>
        <v>16.918053809437282</v>
      </c>
    </row>
    <row r="401" spans="1:31" ht="13.5" customHeight="1">
      <c r="A401" s="1">
        <v>2</v>
      </c>
      <c r="B401" s="3">
        <f t="shared" si="585"/>
        <v>1000</v>
      </c>
      <c r="C401" s="1">
        <f t="shared" si="586"/>
        <v>3.6078544497792034E-2</v>
      </c>
      <c r="D401" s="1">
        <f t="shared" si="499"/>
        <v>0.87759908100857686</v>
      </c>
      <c r="E401" s="1">
        <f t="shared" si="587"/>
        <v>73.440915709467788</v>
      </c>
      <c r="F401" s="1">
        <f t="shared" si="588"/>
        <v>20</v>
      </c>
      <c r="G401" s="1">
        <f t="shared" si="589"/>
        <v>991.18990162269199</v>
      </c>
      <c r="H401" s="1">
        <f t="shared" si="590"/>
        <v>66.899698514885756</v>
      </c>
      <c r="I401" s="1">
        <f t="shared" si="591"/>
        <v>166.30382637434815</v>
      </c>
      <c r="J401" s="3">
        <f t="shared" si="592"/>
        <v>14.142135623730951</v>
      </c>
      <c r="K401" s="47">
        <f t="shared" si="593"/>
        <v>7.6057244648542605E-2</v>
      </c>
      <c r="L401" s="3">
        <f t="shared" si="594"/>
        <v>3</v>
      </c>
      <c r="M401" s="47">
        <f t="shared" si="595"/>
        <v>0.4844410487168318</v>
      </c>
      <c r="N401" s="47">
        <f t="shared" si="596"/>
        <v>908.80782875789248</v>
      </c>
      <c r="O401" s="1">
        <f t="shared" si="597"/>
        <v>0.99525114652685076</v>
      </c>
      <c r="P401" s="1">
        <f t="shared" si="598"/>
        <v>6.1927039583996457</v>
      </c>
      <c r="Q401" s="1">
        <f t="shared" si="599"/>
        <v>73.69590971682041</v>
      </c>
      <c r="R401" s="1">
        <f t="shared" si="600"/>
        <v>73.440915709467788</v>
      </c>
      <c r="S401" s="47">
        <f t="shared" si="601"/>
        <v>81.455394724751443</v>
      </c>
      <c r="T401" s="1">
        <f t="shared" si="602"/>
        <v>66.889055599073075</v>
      </c>
      <c r="U401" s="47">
        <f t="shared" si="603"/>
        <v>66.666386344538722</v>
      </c>
      <c r="V401" s="47">
        <f t="shared" si="604"/>
        <v>71.129561864874887</v>
      </c>
      <c r="W401" s="2">
        <f t="shared" si="518"/>
        <v>991.19990162269198</v>
      </c>
      <c r="X401" s="1">
        <f t="shared" si="605"/>
        <v>129.88276019205134</v>
      </c>
      <c r="Y401" s="1">
        <f t="shared" si="606"/>
        <v>9.0931443193735326</v>
      </c>
      <c r="Z401" s="2">
        <f t="shared" si="607"/>
        <v>4.7831000828505363</v>
      </c>
      <c r="AA401" s="3">
        <f t="shared" si="608"/>
        <v>1000</v>
      </c>
      <c r="AB401" s="1">
        <f t="shared" si="583"/>
        <v>8.8782276540799732E-3</v>
      </c>
      <c r="AC401" s="1">
        <f t="shared" ref="AC401:AC409" si="612">AC400</f>
        <v>0</v>
      </c>
      <c r="AD401" s="64">
        <f t="shared" si="584"/>
        <v>0</v>
      </c>
      <c r="AE401" s="1">
        <f t="shared" si="611"/>
        <v>16.918053809437282</v>
      </c>
    </row>
    <row r="402" spans="1:31" ht="13.5" customHeight="1">
      <c r="A402" s="1">
        <v>3</v>
      </c>
      <c r="B402" s="3">
        <f t="shared" si="585"/>
        <v>1000</v>
      </c>
      <c r="C402" s="1">
        <f t="shared" si="586"/>
        <v>3.3665867352705638E-2</v>
      </c>
      <c r="D402" s="1">
        <f t="shared" si="499"/>
        <v>0.86920903702483443</v>
      </c>
      <c r="E402" s="1">
        <f t="shared" si="587"/>
        <v>73.69590971682041</v>
      </c>
      <c r="F402" s="1">
        <f t="shared" si="588"/>
        <v>20</v>
      </c>
      <c r="G402" s="1">
        <f t="shared" si="589"/>
        <v>993.02010235035357</v>
      </c>
      <c r="H402" s="1">
        <f t="shared" si="590"/>
        <v>66.672969977129924</v>
      </c>
      <c r="I402" s="1">
        <f t="shared" si="591"/>
        <v>178.22205312995732</v>
      </c>
      <c r="J402" s="3">
        <f t="shared" si="592"/>
        <v>17.320508075688775</v>
      </c>
      <c r="K402" s="47">
        <f t="shared" si="593"/>
        <v>0.10972311200124824</v>
      </c>
      <c r="L402" s="3">
        <f t="shared" si="594"/>
        <v>3</v>
      </c>
      <c r="M402" s="47">
        <f t="shared" si="595"/>
        <v>0.46591554989914313</v>
      </c>
      <c r="N402" s="47">
        <f t="shared" si="596"/>
        <v>654.13198221213634</v>
      </c>
      <c r="O402" s="1">
        <f t="shared" si="597"/>
        <v>0.99605847089774058</v>
      </c>
      <c r="P402" s="1">
        <f t="shared" si="598"/>
        <v>6.4389351260103052</v>
      </c>
      <c r="Q402" s="1">
        <f t="shared" si="599"/>
        <v>73.908391209629144</v>
      </c>
      <c r="R402" s="1">
        <f t="shared" si="600"/>
        <v>73.69590971682041</v>
      </c>
      <c r="S402" s="47">
        <f t="shared" si="601"/>
        <v>97.919348661312043</v>
      </c>
      <c r="T402" s="1">
        <f t="shared" si="602"/>
        <v>66.668406372019462</v>
      </c>
      <c r="U402" s="47">
        <f t="shared" si="603"/>
        <v>66.484461490148078</v>
      </c>
      <c r="V402" s="47">
        <f t="shared" si="604"/>
        <v>84.76862047764692</v>
      </c>
      <c r="W402" s="2">
        <f t="shared" si="518"/>
        <v>993.03010235035356</v>
      </c>
      <c r="X402" s="1">
        <f t="shared" si="605"/>
        <v>121.19712246974029</v>
      </c>
      <c r="Y402" s="1">
        <f t="shared" si="606"/>
        <v>10.910759976889318</v>
      </c>
      <c r="Z402" s="2">
        <f t="shared" si="607"/>
        <v>4.5324333077830126</v>
      </c>
      <c r="AA402" s="3">
        <f t="shared" si="608"/>
        <v>1000</v>
      </c>
      <c r="AB402" s="1">
        <f t="shared" si="583"/>
        <v>7.0188180933787869E-3</v>
      </c>
      <c r="AC402" s="1">
        <f t="shared" si="612"/>
        <v>0</v>
      </c>
      <c r="AD402" s="64">
        <f t="shared" si="584"/>
        <v>0</v>
      </c>
      <c r="AE402" s="1">
        <f t="shared" si="611"/>
        <v>16.918053809437282</v>
      </c>
    </row>
    <row r="403" spans="1:31" ht="13.5" customHeight="1">
      <c r="A403" s="1">
        <v>4</v>
      </c>
      <c r="B403" s="3">
        <f t="shared" si="585"/>
        <v>1000</v>
      </c>
      <c r="C403" s="1">
        <f t="shared" si="586"/>
        <v>3.1852079081973204E-2</v>
      </c>
      <c r="D403" s="1">
        <f t="shared" si="499"/>
        <v>0.86210943857854727</v>
      </c>
      <c r="E403" s="1">
        <f t="shared" si="587"/>
        <v>73.908391209629144</v>
      </c>
      <c r="F403" s="1">
        <f t="shared" si="588"/>
        <v>20</v>
      </c>
      <c r="G403" s="1">
        <f t="shared" si="589"/>
        <v>994.43863073085561</v>
      </c>
      <c r="H403" s="1">
        <f t="shared" si="590"/>
        <v>66.474932880406072</v>
      </c>
      <c r="I403" s="1">
        <f t="shared" si="591"/>
        <v>188.37074919218446</v>
      </c>
      <c r="J403" s="3">
        <f t="shared" si="592"/>
        <v>20</v>
      </c>
      <c r="K403" s="47">
        <f t="shared" si="593"/>
        <v>0.14157519108322145</v>
      </c>
      <c r="L403" s="3">
        <f t="shared" si="594"/>
        <v>3</v>
      </c>
      <c r="M403" s="47">
        <f t="shared" si="595"/>
        <v>0.45087640472363516</v>
      </c>
      <c r="N403" s="47">
        <f t="shared" si="596"/>
        <v>513.1594611883487</v>
      </c>
      <c r="O403" s="1">
        <f t="shared" si="597"/>
        <v>0.99652079083597578</v>
      </c>
      <c r="P403" s="1">
        <f t="shared" si="598"/>
        <v>6.6537081305881394</v>
      </c>
      <c r="Q403" s="1">
        <f t="shared" si="599"/>
        <v>74.096604612138293</v>
      </c>
      <c r="R403" s="1">
        <f t="shared" si="600"/>
        <v>73.908391209629144</v>
      </c>
      <c r="S403" s="47">
        <f t="shared" si="601"/>
        <v>111.9146633835539</v>
      </c>
      <c r="T403" s="1">
        <f t="shared" si="602"/>
        <v>66.482317710374787</v>
      </c>
      <c r="U403" s="47">
        <f t="shared" si="603"/>
        <v>66.320596004631767</v>
      </c>
      <c r="V403" s="47">
        <f t="shared" si="604"/>
        <v>96.162281850065582</v>
      </c>
      <c r="W403" s="2">
        <f t="shared" si="518"/>
        <v>994.4486307308556</v>
      </c>
      <c r="X403" s="1">
        <f t="shared" si="605"/>
        <v>114.66748469510354</v>
      </c>
      <c r="Y403" s="1">
        <f t="shared" si="606"/>
        <v>12.219023941313591</v>
      </c>
      <c r="Z403" s="2">
        <f t="shared" si="607"/>
        <v>4.3573193015704437</v>
      </c>
      <c r="AA403" s="3">
        <f t="shared" si="608"/>
        <v>1000</v>
      </c>
      <c r="AB403" s="1">
        <f t="shared" si="583"/>
        <v>5.5823590053760697E-3</v>
      </c>
      <c r="AC403" s="1">
        <f t="shared" si="612"/>
        <v>0</v>
      </c>
      <c r="AD403" s="64">
        <f t="shared" si="584"/>
        <v>0</v>
      </c>
      <c r="AE403" s="1">
        <f t="shared" si="611"/>
        <v>16.918053809437282</v>
      </c>
    </row>
    <row r="404" spans="1:31" ht="13.5" customHeight="1">
      <c r="A404" s="1">
        <v>5</v>
      </c>
      <c r="B404" s="3">
        <f t="shared" si="585"/>
        <v>1000</v>
      </c>
      <c r="C404" s="1">
        <f t="shared" si="586"/>
        <v>3.0377490759523375E-2</v>
      </c>
      <c r="D404" s="1">
        <f t="shared" ref="D404:D467" si="613">EXP((1+(E404-F404-55)/55*$B$18)*B404/C404/-210000)</f>
        <v>0.85574807773624517</v>
      </c>
      <c r="E404" s="1">
        <f t="shared" si="587"/>
        <v>74.096604612138293</v>
      </c>
      <c r="F404" s="1">
        <f t="shared" si="588"/>
        <v>20</v>
      </c>
      <c r="G404" s="1">
        <f t="shared" si="589"/>
        <v>995.61814816002129</v>
      </c>
      <c r="H404" s="1">
        <f t="shared" si="590"/>
        <v>66.293065408895046</v>
      </c>
      <c r="I404" s="1">
        <f t="shared" si="591"/>
        <v>197.51466793283424</v>
      </c>
      <c r="J404" s="3">
        <f t="shared" si="592"/>
        <v>22.360679774997898</v>
      </c>
      <c r="K404" s="47">
        <f t="shared" si="593"/>
        <v>0.17195268184274481</v>
      </c>
      <c r="L404" s="3">
        <f t="shared" si="594"/>
        <v>3</v>
      </c>
      <c r="M404" s="47">
        <f t="shared" si="595"/>
        <v>0.43809600469489118</v>
      </c>
      <c r="N404" s="47">
        <f t="shared" si="596"/>
        <v>422.53340282909755</v>
      </c>
      <c r="O404" s="1">
        <f t="shared" si="597"/>
        <v>0.99682756841868958</v>
      </c>
      <c r="P404" s="1">
        <f t="shared" si="598"/>
        <v>6.8478141043293208</v>
      </c>
      <c r="Q404" s="1">
        <f t="shared" si="599"/>
        <v>74.268768567420395</v>
      </c>
      <c r="R404" s="1">
        <f t="shared" si="600"/>
        <v>74.096604612138293</v>
      </c>
      <c r="S404" s="47">
        <f t="shared" si="601"/>
        <v>124.33702607513597</v>
      </c>
      <c r="T404" s="1">
        <f t="shared" si="602"/>
        <v>66.315732396756431</v>
      </c>
      <c r="U404" s="47">
        <f t="shared" si="603"/>
        <v>66.168798904589437</v>
      </c>
      <c r="V404" s="47">
        <f t="shared" si="604"/>
        <v>106.11555372866387</v>
      </c>
      <c r="W404" s="2">
        <f t="shared" ref="W404:W467" si="614">G404+(S404+V404)*$AB$22+0.01</f>
        <v>995.62814816002128</v>
      </c>
      <c r="X404" s="1">
        <f t="shared" si="605"/>
        <v>109.35896673428415</v>
      </c>
      <c r="Y404" s="1">
        <f t="shared" si="606"/>
        <v>13.245342863690288</v>
      </c>
      <c r="Z404" s="2">
        <f t="shared" si="607"/>
        <v>4.2201620649541667</v>
      </c>
      <c r="AA404" s="3">
        <f t="shared" si="608"/>
        <v>1000</v>
      </c>
      <c r="AB404" s="1">
        <f t="shared" si="583"/>
        <v>4.3910488549949722E-3</v>
      </c>
      <c r="AC404" s="1">
        <f t="shared" si="612"/>
        <v>0</v>
      </c>
      <c r="AD404" s="64">
        <f t="shared" si="584"/>
        <v>0</v>
      </c>
      <c r="AE404" s="1">
        <f t="shared" si="611"/>
        <v>16.918053809437282</v>
      </c>
    </row>
    <row r="405" spans="1:31" ht="13.5" customHeight="1">
      <c r="A405" s="1">
        <v>6</v>
      </c>
      <c r="B405" s="3">
        <f t="shared" si="585"/>
        <v>1000</v>
      </c>
      <c r="C405" s="1">
        <f t="shared" si="586"/>
        <v>2.9126354358407235E-2</v>
      </c>
      <c r="D405" s="1">
        <f t="shared" si="613"/>
        <v>0.84987560113408567</v>
      </c>
      <c r="E405" s="1">
        <f t="shared" si="587"/>
        <v>74.268768567420395</v>
      </c>
      <c r="F405" s="1">
        <f t="shared" si="588"/>
        <v>20</v>
      </c>
      <c r="G405" s="1">
        <f t="shared" si="589"/>
        <v>996.63622305627871</v>
      </c>
      <c r="H405" s="1">
        <f t="shared" si="590"/>
        <v>66.121702309042973</v>
      </c>
      <c r="I405" s="1">
        <f t="shared" si="591"/>
        <v>205.99900441258342</v>
      </c>
      <c r="J405" s="3">
        <f t="shared" si="592"/>
        <v>24.494897427831781</v>
      </c>
      <c r="K405" s="47">
        <f t="shared" si="593"/>
        <v>0.20107903620115206</v>
      </c>
      <c r="L405" s="3">
        <f t="shared" si="594"/>
        <v>3</v>
      </c>
      <c r="M405" s="47">
        <f t="shared" si="595"/>
        <v>0.42691939745467528</v>
      </c>
      <c r="N405" s="47">
        <f t="shared" si="596"/>
        <v>358.95675069814467</v>
      </c>
      <c r="O405" s="1">
        <f t="shared" si="597"/>
        <v>0.99704909322519719</v>
      </c>
      <c r="P405" s="1">
        <f t="shared" si="598"/>
        <v>7.0270875905058885</v>
      </c>
      <c r="Q405" s="1">
        <f t="shared" si="599"/>
        <v>74.429384607206146</v>
      </c>
      <c r="R405" s="1">
        <f t="shared" si="600"/>
        <v>74.268768567420395</v>
      </c>
      <c r="S405" s="47">
        <f t="shared" si="601"/>
        <v>135.64537760997285</v>
      </c>
      <c r="T405" s="1">
        <f t="shared" si="602"/>
        <v>66.161976949616516</v>
      </c>
      <c r="U405" s="47">
        <f t="shared" si="603"/>
        <v>66.025757259097603</v>
      </c>
      <c r="V405" s="47">
        <f t="shared" si="604"/>
        <v>115.04188114088261</v>
      </c>
      <c r="W405" s="2">
        <f t="shared" si="614"/>
        <v>996.6462230562787</v>
      </c>
      <c r="X405" s="1">
        <f t="shared" si="605"/>
        <v>104.85487569026604</v>
      </c>
      <c r="Y405" s="1">
        <f t="shared" si="606"/>
        <v>14.090409669348483</v>
      </c>
      <c r="Z405" s="2">
        <f t="shared" si="607"/>
        <v>4.1060565507428652</v>
      </c>
      <c r="AA405" s="3">
        <f t="shared" si="608"/>
        <v>1000</v>
      </c>
      <c r="AB405" s="1">
        <f t="shared" si="583"/>
        <v>3.365062613127412E-3</v>
      </c>
      <c r="AC405" s="1">
        <f t="shared" si="612"/>
        <v>0</v>
      </c>
      <c r="AD405" s="64">
        <f t="shared" si="584"/>
        <v>0</v>
      </c>
      <c r="AE405" s="1">
        <f t="shared" si="611"/>
        <v>16.918053809437282</v>
      </c>
    </row>
    <row r="406" spans="1:31" ht="13.5" customHeight="1">
      <c r="A406" s="1">
        <v>7</v>
      </c>
      <c r="B406" s="3">
        <f t="shared" si="585"/>
        <v>1000</v>
      </c>
      <c r="C406" s="1">
        <f t="shared" si="586"/>
        <v>2.8035713664494529E-2</v>
      </c>
      <c r="D406" s="1">
        <f t="shared" si="613"/>
        <v>0.84435542277453079</v>
      </c>
      <c r="E406" s="1">
        <f t="shared" si="587"/>
        <v>74.429384607206146</v>
      </c>
      <c r="F406" s="1">
        <f t="shared" si="588"/>
        <v>20</v>
      </c>
      <c r="G406" s="1">
        <f t="shared" si="589"/>
        <v>997.53541784556069</v>
      </c>
      <c r="H406" s="1">
        <f t="shared" si="590"/>
        <v>65.957746051375082</v>
      </c>
      <c r="I406" s="1">
        <f t="shared" si="591"/>
        <v>214.01274359563115</v>
      </c>
      <c r="J406" s="3">
        <f t="shared" si="592"/>
        <v>26.457513110645905</v>
      </c>
      <c r="K406" s="47">
        <f t="shared" si="593"/>
        <v>0.22911474986564659</v>
      </c>
      <c r="L406" s="3">
        <f t="shared" si="594"/>
        <v>3</v>
      </c>
      <c r="M406" s="47">
        <f t="shared" si="595"/>
        <v>0.41695131913675448</v>
      </c>
      <c r="N406" s="47">
        <f t="shared" si="596"/>
        <v>311.71243926989462</v>
      </c>
      <c r="O406" s="1">
        <f t="shared" si="597"/>
        <v>0.99721810505161512</v>
      </c>
      <c r="P406" s="1">
        <f t="shared" si="598"/>
        <v>7.1950845633757066</v>
      </c>
      <c r="Q406" s="1">
        <f t="shared" si="599"/>
        <v>74.58122383807796</v>
      </c>
      <c r="R406" s="1">
        <f t="shared" si="600"/>
        <v>74.429384607206146</v>
      </c>
      <c r="S406" s="47">
        <f t="shared" si="601"/>
        <v>146.11215108414825</v>
      </c>
      <c r="T406" s="1">
        <f t="shared" si="602"/>
        <v>66.017435041751042</v>
      </c>
      <c r="U406" s="47">
        <f t="shared" si="603"/>
        <v>65.889419371670769</v>
      </c>
      <c r="V406" s="47">
        <f t="shared" si="604"/>
        <v>123.18716856316786</v>
      </c>
      <c r="W406" s="2">
        <f t="shared" si="614"/>
        <v>997.54541784556068</v>
      </c>
      <c r="X406" s="1">
        <f t="shared" si="605"/>
        <v>100.9285691921803</v>
      </c>
      <c r="Y406" s="1">
        <f t="shared" si="606"/>
        <v>14.808323170744773</v>
      </c>
      <c r="Z406" s="2">
        <f t="shared" si="607"/>
        <v>4.0075402288879047</v>
      </c>
      <c r="AA406" s="3">
        <f t="shared" si="608"/>
        <v>1000</v>
      </c>
      <c r="AB406" s="1">
        <f t="shared" si="583"/>
        <v>2.4606219531744244E-3</v>
      </c>
      <c r="AC406" s="1">
        <f t="shared" si="612"/>
        <v>0</v>
      </c>
      <c r="AD406" s="64">
        <f t="shared" si="584"/>
        <v>0</v>
      </c>
      <c r="AE406" s="1">
        <f t="shared" si="611"/>
        <v>16.918053809437282</v>
      </c>
    </row>
    <row r="407" spans="1:31" ht="13.5" customHeight="1">
      <c r="A407" s="1">
        <v>8</v>
      </c>
      <c r="B407" s="3">
        <f t="shared" si="585"/>
        <v>1000</v>
      </c>
      <c r="C407" s="1">
        <f t="shared" si="586"/>
        <v>2.7067015953341218E-2</v>
      </c>
      <c r="D407" s="1">
        <f t="shared" si="613"/>
        <v>0.83910356472293901</v>
      </c>
      <c r="E407" s="1">
        <f t="shared" si="587"/>
        <v>74.58122383807796</v>
      </c>
      <c r="F407" s="1">
        <f t="shared" si="588"/>
        <v>20</v>
      </c>
      <c r="G407" s="1">
        <f t="shared" si="589"/>
        <v>998.34204306797812</v>
      </c>
      <c r="H407" s="1">
        <f t="shared" si="590"/>
        <v>65.799299489471878</v>
      </c>
      <c r="I407" s="1">
        <f t="shared" si="591"/>
        <v>221.67201624083521</v>
      </c>
      <c r="J407" s="3">
        <f t="shared" si="592"/>
        <v>28.284271247461902</v>
      </c>
      <c r="K407" s="47">
        <f t="shared" si="593"/>
        <v>0.25618176581898783</v>
      </c>
      <c r="L407" s="3">
        <f t="shared" si="594"/>
        <v>3</v>
      </c>
      <c r="M407" s="47">
        <f t="shared" si="595"/>
        <v>0.40793274811940727</v>
      </c>
      <c r="N407" s="47">
        <f t="shared" si="596"/>
        <v>275.13772248563617</v>
      </c>
      <c r="O407" s="1">
        <f t="shared" si="597"/>
        <v>0.99735214063873834</v>
      </c>
      <c r="P407" s="1">
        <f t="shared" si="598"/>
        <v>7.3541533839344044</v>
      </c>
      <c r="Q407" s="1">
        <f t="shared" si="599"/>
        <v>74.726130936182955</v>
      </c>
      <c r="R407" s="1">
        <f t="shared" si="600"/>
        <v>74.58122383807796</v>
      </c>
      <c r="S407" s="47">
        <f t="shared" si="601"/>
        <v>155.91473634342941</v>
      </c>
      <c r="T407" s="1">
        <f t="shared" si="602"/>
        <v>65.879897709262849</v>
      </c>
      <c r="U407" s="47">
        <f t="shared" si="603"/>
        <v>65.758414192619654</v>
      </c>
      <c r="V407" s="47">
        <f t="shared" si="604"/>
        <v>130.71181960853161</v>
      </c>
      <c r="W407" s="2">
        <f t="shared" si="614"/>
        <v>998.35204306797812</v>
      </c>
      <c r="X407" s="1">
        <f t="shared" si="605"/>
        <v>97.44125743202838</v>
      </c>
      <c r="Y407" s="1">
        <f t="shared" si="606"/>
        <v>15.431748049284561</v>
      </c>
      <c r="Z407" s="2">
        <f t="shared" si="607"/>
        <v>3.9203271435465052</v>
      </c>
      <c r="AA407" s="3">
        <f t="shared" si="608"/>
        <v>1000</v>
      </c>
      <c r="AB407" s="1">
        <f t="shared" si="583"/>
        <v>1.6506771769180251E-3</v>
      </c>
      <c r="AC407" s="1">
        <f t="shared" si="612"/>
        <v>0</v>
      </c>
      <c r="AD407" s="64">
        <f t="shared" si="584"/>
        <v>0</v>
      </c>
      <c r="AE407" s="1">
        <f t="shared" si="611"/>
        <v>16.918053809437282</v>
      </c>
    </row>
    <row r="408" spans="1:31" ht="13.5" customHeight="1">
      <c r="A408" s="1">
        <v>9</v>
      </c>
      <c r="B408" s="3">
        <f t="shared" si="585"/>
        <v>1000</v>
      </c>
      <c r="C408" s="1">
        <f t="shared" si="586"/>
        <v>2.6194705359153168E-2</v>
      </c>
      <c r="D408" s="1">
        <f t="shared" si="613"/>
        <v>0.83406424374597476</v>
      </c>
      <c r="E408" s="1">
        <f t="shared" si="587"/>
        <v>74.726130936182955</v>
      </c>
      <c r="F408" s="1">
        <f t="shared" si="588"/>
        <v>20</v>
      </c>
      <c r="G408" s="1">
        <f t="shared" si="589"/>
        <v>999.0737133413503</v>
      </c>
      <c r="H408" s="1">
        <f t="shared" si="590"/>
        <v>65.645109012430623</v>
      </c>
      <c r="I408" s="1">
        <f t="shared" si="591"/>
        <v>229.05392207068408</v>
      </c>
      <c r="J408" s="3">
        <f t="shared" si="592"/>
        <v>30</v>
      </c>
      <c r="K408" s="47">
        <f t="shared" si="593"/>
        <v>0.28237647117814102</v>
      </c>
      <c r="L408" s="3">
        <f t="shared" si="594"/>
        <v>3</v>
      </c>
      <c r="M408" s="47">
        <f t="shared" si="595"/>
        <v>0.39968361100939986</v>
      </c>
      <c r="N408" s="47">
        <f t="shared" si="596"/>
        <v>245.94166229919071</v>
      </c>
      <c r="O408" s="1">
        <f t="shared" si="597"/>
        <v>0.9974615344177703</v>
      </c>
      <c r="P408" s="1">
        <f t="shared" si="598"/>
        <v>7.5059369895690953</v>
      </c>
      <c r="Q408" s="1">
        <f t="shared" si="599"/>
        <v>74.865404878121154</v>
      </c>
      <c r="R408" s="1">
        <f t="shared" si="600"/>
        <v>74.726130936182955</v>
      </c>
      <c r="S408" s="47">
        <f t="shared" si="601"/>
        <v>165.17627385663798</v>
      </c>
      <c r="T408" s="1">
        <f t="shared" si="602"/>
        <v>65.747903416709974</v>
      </c>
      <c r="U408" s="47">
        <f t="shared" si="603"/>
        <v>65.631773938427486</v>
      </c>
      <c r="V408" s="47">
        <f t="shared" si="604"/>
        <v>137.72737556410209</v>
      </c>
      <c r="W408" s="2">
        <f t="shared" si="614"/>
        <v>999.08371334135029</v>
      </c>
      <c r="X408" s="1">
        <f t="shared" si="605"/>
        <v>94.300939292951398</v>
      </c>
      <c r="Y408" s="1">
        <f t="shared" si="606"/>
        <v>15.982023494255833</v>
      </c>
      <c r="Z408" s="2">
        <f t="shared" si="607"/>
        <v>3.8417204903443465</v>
      </c>
      <c r="AA408" s="3">
        <f t="shared" si="608"/>
        <v>1000</v>
      </c>
      <c r="AB408" s="1">
        <f t="shared" si="583"/>
        <v>9.1712700989310392E-4</v>
      </c>
      <c r="AC408" s="1">
        <f t="shared" si="612"/>
        <v>0</v>
      </c>
      <c r="AD408" s="64">
        <f t="shared" si="584"/>
        <v>0</v>
      </c>
      <c r="AE408" s="1">
        <f t="shared" si="611"/>
        <v>16.918053809437282</v>
      </c>
    </row>
    <row r="409" spans="1:31" ht="13.5" customHeight="1">
      <c r="A409" s="1">
        <v>10</v>
      </c>
      <c r="B409" s="3">
        <f t="shared" si="585"/>
        <v>1000</v>
      </c>
      <c r="C409" s="1">
        <f t="shared" si="586"/>
        <v>2.5400849736309437E-2</v>
      </c>
      <c r="D409" s="1">
        <f t="shared" si="613"/>
        <v>0.82919829093339004</v>
      </c>
      <c r="E409" s="1">
        <f t="shared" si="587"/>
        <v>74.865404878121154</v>
      </c>
      <c r="F409" s="1">
        <f t="shared" si="588"/>
        <v>20</v>
      </c>
      <c r="G409" s="1">
        <f t="shared" si="589"/>
        <v>999.74291752525153</v>
      </c>
      <c r="H409" s="1">
        <f t="shared" si="590"/>
        <v>65.494299956306548</v>
      </c>
      <c r="I409" s="1">
        <f t="shared" si="591"/>
        <v>236.21257014182697</v>
      </c>
      <c r="J409" s="3">
        <f t="shared" si="592"/>
        <v>31.622776601683793</v>
      </c>
      <c r="K409" s="47">
        <f t="shared" si="593"/>
        <v>0.30777732091445048</v>
      </c>
      <c r="L409" s="3">
        <f t="shared" si="594"/>
        <v>3</v>
      </c>
      <c r="M409" s="47">
        <f t="shared" si="595"/>
        <v>0.3920730202731853</v>
      </c>
      <c r="N409" s="47">
        <f t="shared" si="596"/>
        <v>222.07349529153379</v>
      </c>
      <c r="O409" s="1">
        <f t="shared" si="597"/>
        <v>0.997552815965839</v>
      </c>
      <c r="P409" s="1">
        <f t="shared" si="598"/>
        <v>7.6516359067749304</v>
      </c>
      <c r="Q409" s="1">
        <f t="shared" si="599"/>
        <v>75</v>
      </c>
      <c r="R409" s="1">
        <f t="shared" si="600"/>
        <v>74.865404878121154</v>
      </c>
      <c r="S409" s="47">
        <f t="shared" si="601"/>
        <v>173.98636928411719</v>
      </c>
      <c r="T409" s="1">
        <f t="shared" si="602"/>
        <v>65.620428216292623</v>
      </c>
      <c r="U409" s="47">
        <f t="shared" si="603"/>
        <v>65.508786632730121</v>
      </c>
      <c r="V409" s="47">
        <f t="shared" si="604"/>
        <v>144.31513946435362</v>
      </c>
      <c r="W409" s="2">
        <f t="shared" si="614"/>
        <v>999.75291752525152</v>
      </c>
      <c r="X409" s="1">
        <f t="shared" si="605"/>
        <v>91.44305905071397</v>
      </c>
      <c r="Y409" s="1">
        <f t="shared" si="606"/>
        <v>16.473906818854214</v>
      </c>
      <c r="Z409" s="2">
        <f t="shared" si="607"/>
        <v>3.7699087967157197</v>
      </c>
      <c r="AA409" s="3">
        <f t="shared" si="608"/>
        <v>1000</v>
      </c>
      <c r="AB409" s="1">
        <f t="shared" si="583"/>
        <v>2.471435395858812E-4</v>
      </c>
      <c r="AC409" s="1">
        <f t="shared" si="612"/>
        <v>0</v>
      </c>
      <c r="AD409" s="64">
        <f t="shared" si="584"/>
        <v>0</v>
      </c>
      <c r="AE409" s="1">
        <f t="shared" si="611"/>
        <v>16.918053809437282</v>
      </c>
    </row>
    <row r="410" spans="1:31" ht="13.5" customHeight="1">
      <c r="K410" s="47"/>
      <c r="L410" s="47"/>
      <c r="M410" s="47"/>
      <c r="N410" s="47">
        <f>SUM(N400:N409)</f>
        <v>5459.0269047186403</v>
      </c>
      <c r="O410" s="2" t="s">
        <v>46</v>
      </c>
      <c r="P410" s="2"/>
      <c r="Q410" s="2"/>
      <c r="R410" s="49">
        <f>R390</f>
        <v>75</v>
      </c>
      <c r="S410" s="50" t="s">
        <v>45</v>
      </c>
      <c r="T410" s="2"/>
      <c r="U410" s="11">
        <f>U409</f>
        <v>65.508786632730121</v>
      </c>
      <c r="V410" s="47"/>
      <c r="W410" s="2"/>
      <c r="Y410" s="1">
        <f>N411</f>
        <v>16.918053809437282</v>
      </c>
      <c r="AE410" s="1">
        <f t="shared" si="611"/>
        <v>16.918053809437282</v>
      </c>
    </row>
    <row r="411" spans="1:31" ht="13.5" customHeight="1">
      <c r="K411" s="47"/>
      <c r="L411" s="2" t="s">
        <v>44</v>
      </c>
      <c r="M411" s="2"/>
      <c r="N411" s="47">
        <f>N410*2/1000+Y411</f>
        <v>16.918053809437282</v>
      </c>
      <c r="O411" s="2" t="s">
        <v>1</v>
      </c>
      <c r="P411" s="1">
        <f>SUM(P400:P409)</f>
        <v>68.75769649535205</v>
      </c>
      <c r="Q411" s="1" t="s">
        <v>43</v>
      </c>
      <c r="S411" s="47"/>
      <c r="U411" s="47"/>
      <c r="V411" s="47"/>
      <c r="W411" s="2"/>
      <c r="Y411" s="3">
        <f>Y391</f>
        <v>6</v>
      </c>
      <c r="Z411" s="3" t="s">
        <v>42</v>
      </c>
      <c r="AE411" s="1">
        <f>N411</f>
        <v>16.918053809437282</v>
      </c>
    </row>
    <row r="412" spans="1:31" ht="13.5" customHeight="1">
      <c r="L412" s="60" t="s">
        <v>41</v>
      </c>
      <c r="N412" s="3">
        <f>N392</f>
        <v>15</v>
      </c>
      <c r="O412" s="1" t="s">
        <v>1</v>
      </c>
    </row>
    <row r="415" spans="1:31" ht="13.5" customHeight="1" thickBot="1"/>
    <row r="416" spans="1:31" ht="13.5" customHeight="1">
      <c r="B416" s="14" t="s">
        <v>40</v>
      </c>
      <c r="C416" s="15"/>
      <c r="D416" s="15"/>
      <c r="E416" s="15"/>
      <c r="F416" s="15"/>
      <c r="G416" s="15"/>
      <c r="H416" s="15" t="s">
        <v>39</v>
      </c>
      <c r="I416" s="16"/>
      <c r="J416" s="14" t="s">
        <v>38</v>
      </c>
      <c r="K416" s="15"/>
      <c r="L416" s="15"/>
      <c r="M416" s="15"/>
      <c r="N416" s="15" t="s">
        <v>37</v>
      </c>
      <c r="O416" s="15"/>
      <c r="P416" s="15"/>
      <c r="Q416" s="15"/>
      <c r="R416" s="15"/>
      <c r="S416" s="16"/>
      <c r="T416" s="14" t="s">
        <v>36</v>
      </c>
      <c r="U416" s="15"/>
      <c r="V416" s="16"/>
      <c r="W416" s="14"/>
      <c r="X416" s="15"/>
      <c r="Y416" s="15"/>
      <c r="Z416" s="16"/>
    </row>
    <row r="417" spans="1:31" ht="13.5" customHeight="1">
      <c r="B417" s="17" t="s">
        <v>35</v>
      </c>
      <c r="C417" s="18" t="s">
        <v>22</v>
      </c>
      <c r="D417" s="18"/>
      <c r="E417" s="18" t="s">
        <v>34</v>
      </c>
      <c r="F417" s="18" t="s">
        <v>33</v>
      </c>
      <c r="G417" s="18" t="s">
        <v>7</v>
      </c>
      <c r="H417" s="18" t="s">
        <v>32</v>
      </c>
      <c r="I417" s="19" t="s">
        <v>22</v>
      </c>
      <c r="J417" s="17" t="s">
        <v>31</v>
      </c>
      <c r="K417" s="18"/>
      <c r="L417" s="18" t="s">
        <v>30</v>
      </c>
      <c r="M417" s="18"/>
      <c r="N417" s="18" t="s">
        <v>29</v>
      </c>
      <c r="O417" s="18"/>
      <c r="P417" s="18" t="s">
        <v>28</v>
      </c>
      <c r="Q417" s="20" t="s">
        <v>27</v>
      </c>
      <c r="R417" s="21" t="s">
        <v>26</v>
      </c>
      <c r="S417" s="22" t="s">
        <v>7</v>
      </c>
      <c r="T417" s="23" t="s">
        <v>25</v>
      </c>
      <c r="U417" s="24" t="s">
        <v>24</v>
      </c>
      <c r="V417" s="25" t="s">
        <v>7</v>
      </c>
      <c r="W417" s="26" t="s">
        <v>23</v>
      </c>
      <c r="X417" s="4" t="s">
        <v>22</v>
      </c>
      <c r="Y417" s="4" t="s">
        <v>21</v>
      </c>
      <c r="Z417" s="5" t="s">
        <v>20</v>
      </c>
    </row>
    <row r="418" spans="1:31" ht="13.5" customHeight="1">
      <c r="B418" s="54" t="s">
        <v>3</v>
      </c>
      <c r="C418" s="28" t="s">
        <v>17</v>
      </c>
      <c r="D418" s="20" t="s">
        <v>13</v>
      </c>
      <c r="E418" s="20" t="s">
        <v>19</v>
      </c>
      <c r="F418" s="28" t="s">
        <v>19</v>
      </c>
      <c r="G418" s="20" t="s">
        <v>3</v>
      </c>
      <c r="H418" s="20" t="s">
        <v>19</v>
      </c>
      <c r="I418" s="29" t="s">
        <v>12</v>
      </c>
      <c r="J418" s="55" t="s">
        <v>18</v>
      </c>
      <c r="K418" s="20" t="s">
        <v>17</v>
      </c>
      <c r="L418" s="56" t="s">
        <v>16</v>
      </c>
      <c r="M418" s="20" t="s">
        <v>15</v>
      </c>
      <c r="N418" s="20" t="s">
        <v>14</v>
      </c>
      <c r="O418" s="20" t="s">
        <v>13</v>
      </c>
      <c r="P418" s="20" t="s">
        <v>12</v>
      </c>
      <c r="Q418" s="20" t="s">
        <v>11</v>
      </c>
      <c r="R418" s="21" t="s">
        <v>11</v>
      </c>
      <c r="S418" s="22" t="s">
        <v>10</v>
      </c>
      <c r="T418" s="23" t="s">
        <v>9</v>
      </c>
      <c r="U418" s="24" t="s">
        <v>9</v>
      </c>
      <c r="V418" s="33" t="s">
        <v>8</v>
      </c>
      <c r="W418" s="34" t="s">
        <v>7</v>
      </c>
      <c r="X418" s="4" t="s">
        <v>6</v>
      </c>
      <c r="Y418" s="6" t="s">
        <v>5</v>
      </c>
      <c r="Z418" s="7" t="s">
        <v>5</v>
      </c>
    </row>
    <row r="419" spans="1:31" ht="13.5" customHeight="1" thickBot="1">
      <c r="B419" s="57"/>
      <c r="C419" s="3">
        <f>C399</f>
        <v>1.05</v>
      </c>
      <c r="D419" s="37"/>
      <c r="E419" s="38"/>
      <c r="F419" s="38"/>
      <c r="G419" s="37"/>
      <c r="H419" s="37"/>
      <c r="I419" s="39"/>
      <c r="J419" s="58" t="s">
        <v>4</v>
      </c>
      <c r="K419" s="44"/>
      <c r="L419" s="59"/>
      <c r="M419" s="37"/>
      <c r="N419" s="37"/>
      <c r="O419" s="37"/>
      <c r="P419" s="37"/>
      <c r="Q419" s="42"/>
      <c r="R419" s="42"/>
      <c r="S419" s="52" t="s">
        <v>3</v>
      </c>
      <c r="T419" s="43"/>
      <c r="U419" s="44"/>
      <c r="V419" s="39" t="s">
        <v>3</v>
      </c>
      <c r="W419" s="45" t="s">
        <v>3</v>
      </c>
      <c r="X419" s="8" t="s">
        <v>2</v>
      </c>
      <c r="Y419" s="9" t="s">
        <v>1</v>
      </c>
      <c r="Z419" s="13" t="s">
        <v>0</v>
      </c>
    </row>
    <row r="420" spans="1:31" ht="13.5" customHeight="1">
      <c r="A420" s="1">
        <v>1</v>
      </c>
      <c r="B420" s="3">
        <f t="shared" ref="B420:B429" si="615">B400</f>
        <v>1000</v>
      </c>
      <c r="C420" s="1">
        <f t="shared" ref="C420:C429" si="616">IF(B420&lt;1,0.000001,C400*(1+AB400))</f>
        <v>4.04490800516627E-2</v>
      </c>
      <c r="D420" s="1">
        <f t="shared" si="613"/>
        <v>0.89031578099029951</v>
      </c>
      <c r="E420" s="1">
        <f t="shared" ref="E420:E429" si="617">R420</f>
        <v>73.09825310326427</v>
      </c>
      <c r="F420" s="1">
        <f t="shared" ref="F420:F429" si="618">F400</f>
        <v>20</v>
      </c>
      <c r="G420" s="1">
        <f t="shared" ref="G420:G429" si="619">(E420-F420)*C420*(1-D420)*4200</f>
        <v>989.42372453492339</v>
      </c>
      <c r="H420" s="1">
        <f t="shared" ref="H420:H429" si="620">(E420-F420)*D420+F420</f>
        <v>67.274212680853324</v>
      </c>
      <c r="I420" s="1">
        <f t="shared" ref="I420:I429" si="621">B420*0.001*6/C420</f>
        <v>148.33464672958277</v>
      </c>
      <c r="J420" s="3">
        <f t="shared" ref="J420:J429" si="622">J400</f>
        <v>10</v>
      </c>
      <c r="K420" s="47">
        <f t="shared" ref="K420:K429" si="623">K419+C420</f>
        <v>4.04490800516627E-2</v>
      </c>
      <c r="L420" s="3">
        <f t="shared" ref="L420:L429" si="624">L400</f>
        <v>3</v>
      </c>
      <c r="M420" s="47">
        <f t="shared" ref="M420:M429" si="625">K420/(J420*J420*3.14/4000)</f>
        <v>0.51527490511672225</v>
      </c>
      <c r="N420" s="47">
        <f t="shared" ref="N420:N429" si="626">L420*26400/J420^1.27*M420^1.83*$N$69</f>
        <v>1580.0344275521045</v>
      </c>
      <c r="O420" s="1">
        <f t="shared" ref="O420:O429" si="627">EXP(-(J420+2)*3.14/1000*$O$66/(M420*J420*J420*3.14/4000*4200)*L420)</f>
        <v>0.99336821952629828</v>
      </c>
      <c r="P420" s="1">
        <f t="shared" ref="P420:P429" si="628">L420/M420</f>
        <v>5.8221348841361245</v>
      </c>
      <c r="Q420" s="1">
        <f t="shared" ref="Q420:Q429" si="629">R421</f>
        <v>73.452739940265985</v>
      </c>
      <c r="R420" s="1">
        <f t="shared" ref="R420:R429" si="630">(Q420-F420)*O420+F420</f>
        <v>73.09825310326427</v>
      </c>
      <c r="S420" s="47">
        <f t="shared" ref="S420:S429" si="631">K420*(1-O420)*4200*(Q420-F420)</f>
        <v>60.222399078000421</v>
      </c>
      <c r="T420" s="1">
        <f t="shared" ref="T420:T429" si="632">(U419*K419+H420*C420)/K420</f>
        <v>67.274212680853324</v>
      </c>
      <c r="U420" s="47">
        <f t="shared" ref="U420:U429" si="633">(T420-F420)*O420+F420</f>
        <v>66.960700480286818</v>
      </c>
      <c r="V420" s="47">
        <f t="shared" ref="V420:V429" si="634">K420*(1-O420)*4200*(T420-F420)</f>
        <v>53.261376411127529</v>
      </c>
      <c r="W420" s="2">
        <f t="shared" si="614"/>
        <v>989.43372453492339</v>
      </c>
      <c r="X420" s="1">
        <f t="shared" ref="X420:X429" si="635">C420*3600</f>
        <v>145.61668818598571</v>
      </c>
      <c r="Y420" s="1">
        <f t="shared" ref="Y420:Y429" si="636">Y421-2*N420/1000</f>
        <v>6.0000000000000036</v>
      </c>
      <c r="Z420" s="2">
        <f t="shared" ref="Z420:Z429" si="637">-1.1-1.8*LOG10(Y420/X420/X420)</f>
        <v>5.2868878875397307</v>
      </c>
      <c r="AA420" s="3">
        <f t="shared" ref="AA420:AA429" si="638">AA400</f>
        <v>1000</v>
      </c>
      <c r="AB420" s="1">
        <f t="shared" ref="AB420" si="639">((AA420/W420)-1)*AB$23+AC420+AD420</f>
        <v>1.067911392452614E-2</v>
      </c>
      <c r="AC420" s="1">
        <f>((N432/N431)-1)*AB$24</f>
        <v>0</v>
      </c>
      <c r="AD420" s="64">
        <f t="shared" ref="AD420" si="640">(AC$21-(X420/1000/SQRT(Y420/104))*1000/B420)*AB$21</f>
        <v>0</v>
      </c>
      <c r="AE420" s="1">
        <f t="shared" ref="AE420:AE430" si="641">AE421</f>
        <v>17.102561096277569</v>
      </c>
    </row>
    <row r="421" spans="1:31" ht="13.5" customHeight="1">
      <c r="A421" s="1">
        <v>2</v>
      </c>
      <c r="B421" s="3">
        <f t="shared" si="615"/>
        <v>1000</v>
      </c>
      <c r="C421" s="1">
        <f t="shared" si="616"/>
        <v>3.6398858029271286E-2</v>
      </c>
      <c r="D421" s="1">
        <f t="shared" si="613"/>
        <v>0.8785986214855076</v>
      </c>
      <c r="E421" s="1">
        <f t="shared" si="617"/>
        <v>73.452739940265985</v>
      </c>
      <c r="F421" s="1">
        <f t="shared" si="618"/>
        <v>20</v>
      </c>
      <c r="G421" s="1">
        <f t="shared" si="619"/>
        <v>992.04332352814913</v>
      </c>
      <c r="H421" s="1">
        <f t="shared" si="620"/>
        <v>66.963503626141033</v>
      </c>
      <c r="I421" s="1">
        <f t="shared" si="621"/>
        <v>164.84033634173113</v>
      </c>
      <c r="J421" s="3">
        <f t="shared" si="622"/>
        <v>14.142135623730951</v>
      </c>
      <c r="K421" s="47">
        <f t="shared" si="623"/>
        <v>7.6847938080933986E-2</v>
      </c>
      <c r="L421" s="3">
        <f t="shared" si="624"/>
        <v>3</v>
      </c>
      <c r="M421" s="47">
        <f t="shared" si="625"/>
        <v>0.48947731261741384</v>
      </c>
      <c r="N421" s="47">
        <f t="shared" si="626"/>
        <v>926.17220815447718</v>
      </c>
      <c r="O421" s="1">
        <f t="shared" si="627"/>
        <v>0.99529989278121145</v>
      </c>
      <c r="P421" s="1">
        <f t="shared" si="628"/>
        <v>6.1289868246556827</v>
      </c>
      <c r="Q421" s="1">
        <f t="shared" si="629"/>
        <v>73.705159950234275</v>
      </c>
      <c r="R421" s="1">
        <f t="shared" si="630"/>
        <v>73.452739940265985</v>
      </c>
      <c r="S421" s="47">
        <f t="shared" si="631"/>
        <v>81.471420645013922</v>
      </c>
      <c r="T421" s="1">
        <f t="shared" si="632"/>
        <v>66.962028184198346</v>
      </c>
      <c r="U421" s="47">
        <f t="shared" si="633"/>
        <v>66.741301616520843</v>
      </c>
      <c r="V421" s="47">
        <f t="shared" si="634"/>
        <v>71.242002743930612</v>
      </c>
      <c r="W421" s="2">
        <f t="shared" si="614"/>
        <v>992.05332352814912</v>
      </c>
      <c r="X421" s="1">
        <f t="shared" si="635"/>
        <v>131.03588890537662</v>
      </c>
      <c r="Y421" s="1">
        <f t="shared" si="636"/>
        <v>9.1600688551042122</v>
      </c>
      <c r="Z421" s="2">
        <f t="shared" si="637"/>
        <v>4.7911872041801349</v>
      </c>
      <c r="AA421" s="3">
        <f t="shared" si="638"/>
        <v>1000</v>
      </c>
      <c r="AB421" s="1">
        <f t="shared" si="583"/>
        <v>8.0103319885964641E-3</v>
      </c>
      <c r="AC421" s="1">
        <f t="shared" ref="AC421:AC429" si="642">AC420</f>
        <v>0</v>
      </c>
      <c r="AD421" s="64">
        <f t="shared" si="584"/>
        <v>0</v>
      </c>
      <c r="AE421" s="1">
        <f t="shared" si="641"/>
        <v>17.102561096277569</v>
      </c>
    </row>
    <row r="422" spans="1:31" ht="13.5" customHeight="1">
      <c r="A422" s="1">
        <v>3</v>
      </c>
      <c r="B422" s="3">
        <f t="shared" si="615"/>
        <v>1000</v>
      </c>
      <c r="C422" s="1">
        <f t="shared" si="616"/>
        <v>3.3902161951610096E-2</v>
      </c>
      <c r="D422" s="1">
        <f t="shared" si="613"/>
        <v>0.87005084311492165</v>
      </c>
      <c r="E422" s="1">
        <f t="shared" si="617"/>
        <v>73.705159950234275</v>
      </c>
      <c r="F422" s="1">
        <f t="shared" si="618"/>
        <v>20</v>
      </c>
      <c r="G422" s="1">
        <f t="shared" si="619"/>
        <v>993.72488378735636</v>
      </c>
      <c r="H422" s="1">
        <f t="shared" si="620"/>
        <v>66.726219694323049</v>
      </c>
      <c r="I422" s="1">
        <f t="shared" si="621"/>
        <v>176.9798636607317</v>
      </c>
      <c r="J422" s="3">
        <f t="shared" si="622"/>
        <v>17.320508075688775</v>
      </c>
      <c r="K422" s="47">
        <f t="shared" si="623"/>
        <v>0.11075010003254408</v>
      </c>
      <c r="L422" s="3">
        <f t="shared" si="624"/>
        <v>3</v>
      </c>
      <c r="M422" s="47">
        <f t="shared" si="625"/>
        <v>0.47027643325921042</v>
      </c>
      <c r="N422" s="47">
        <f t="shared" si="626"/>
        <v>665.37975467507249</v>
      </c>
      <c r="O422" s="1">
        <f t="shared" si="627"/>
        <v>0.99609494932278797</v>
      </c>
      <c r="P422" s="1">
        <f t="shared" si="628"/>
        <v>6.3792267437446473</v>
      </c>
      <c r="Q422" s="1">
        <f t="shared" si="629"/>
        <v>73.915703504717726</v>
      </c>
      <c r="R422" s="1">
        <f t="shared" si="630"/>
        <v>73.705159950234275</v>
      </c>
      <c r="S422" s="47">
        <f t="shared" si="631"/>
        <v>97.93442282505292</v>
      </c>
      <c r="T422" s="1">
        <f t="shared" si="632"/>
        <v>66.736684828195223</v>
      </c>
      <c r="U422" s="47">
        <f t="shared" si="633"/>
        <v>66.554175705456231</v>
      </c>
      <c r="V422" s="47">
        <f t="shared" si="634"/>
        <v>84.894195120818551</v>
      </c>
      <c r="W422" s="2">
        <f t="shared" si="614"/>
        <v>993.73488378735635</v>
      </c>
      <c r="X422" s="1">
        <f t="shared" si="635"/>
        <v>122.04778302579635</v>
      </c>
      <c r="Y422" s="1">
        <f t="shared" si="636"/>
        <v>11.012413271413166</v>
      </c>
      <c r="Z422" s="2">
        <f t="shared" si="637"/>
        <v>4.5361191197785615</v>
      </c>
      <c r="AA422" s="3">
        <f t="shared" si="638"/>
        <v>1000</v>
      </c>
      <c r="AB422" s="1">
        <f t="shared" si="583"/>
        <v>6.3046153605534894E-3</v>
      </c>
      <c r="AC422" s="1">
        <f t="shared" si="642"/>
        <v>0</v>
      </c>
      <c r="AD422" s="64">
        <f t="shared" si="584"/>
        <v>0</v>
      </c>
      <c r="AE422" s="1">
        <f t="shared" si="641"/>
        <v>17.102561096277569</v>
      </c>
    </row>
    <row r="423" spans="1:31" ht="13.5" customHeight="1">
      <c r="A423" s="1">
        <v>4</v>
      </c>
      <c r="B423" s="3">
        <f t="shared" si="615"/>
        <v>1000</v>
      </c>
      <c r="C423" s="1">
        <f t="shared" si="616"/>
        <v>3.2029888822476406E-2</v>
      </c>
      <c r="D423" s="1">
        <f t="shared" si="613"/>
        <v>0.86281334726783221</v>
      </c>
      <c r="E423" s="1">
        <f t="shared" si="617"/>
        <v>73.915703504717726</v>
      </c>
      <c r="F423" s="1">
        <f t="shared" si="618"/>
        <v>20</v>
      </c>
      <c r="G423" s="1">
        <f t="shared" si="619"/>
        <v>995.02010879454838</v>
      </c>
      <c r="H423" s="1">
        <f t="shared" si="620"/>
        <v>66.519188611205493</v>
      </c>
      <c r="I423" s="1">
        <f t="shared" si="621"/>
        <v>187.32503360391331</v>
      </c>
      <c r="J423" s="3">
        <f t="shared" si="622"/>
        <v>20</v>
      </c>
      <c r="K423" s="47">
        <f t="shared" si="623"/>
        <v>0.1427799888550205</v>
      </c>
      <c r="L423" s="3">
        <f t="shared" si="624"/>
        <v>3</v>
      </c>
      <c r="M423" s="47">
        <f t="shared" si="625"/>
        <v>0.45471334030261307</v>
      </c>
      <c r="N423" s="47">
        <f t="shared" si="626"/>
        <v>521.17920987801779</v>
      </c>
      <c r="O423" s="1">
        <f t="shared" si="627"/>
        <v>0.99655009819596119</v>
      </c>
      <c r="P423" s="1">
        <f t="shared" si="628"/>
        <v>6.5975631988353172</v>
      </c>
      <c r="Q423" s="1">
        <f t="shared" si="629"/>
        <v>74.102351304084436</v>
      </c>
      <c r="R423" s="1">
        <f t="shared" si="630"/>
        <v>73.915703504717726</v>
      </c>
      <c r="S423" s="47">
        <f t="shared" si="631"/>
        <v>111.92819699624593</v>
      </c>
      <c r="T423" s="1">
        <f t="shared" si="632"/>
        <v>66.546327037389645</v>
      </c>
      <c r="U423" s="47">
        <f t="shared" si="633"/>
        <v>66.385746779771978</v>
      </c>
      <c r="V423" s="47">
        <f t="shared" si="634"/>
        <v>96.296119050547091</v>
      </c>
      <c r="W423" s="2">
        <f t="shared" si="614"/>
        <v>995.03010879454837</v>
      </c>
      <c r="X423" s="1">
        <f t="shared" si="635"/>
        <v>115.30759976091507</v>
      </c>
      <c r="Y423" s="1">
        <f t="shared" si="636"/>
        <v>12.343172780763311</v>
      </c>
      <c r="Z423" s="2">
        <f t="shared" si="637"/>
        <v>4.358120300119376</v>
      </c>
      <c r="AA423" s="3">
        <f t="shared" si="638"/>
        <v>1000</v>
      </c>
      <c r="AB423" s="1">
        <f t="shared" si="583"/>
        <v>4.9947143925850312E-3</v>
      </c>
      <c r="AC423" s="1">
        <f t="shared" si="642"/>
        <v>0</v>
      </c>
      <c r="AD423" s="64">
        <f t="shared" si="584"/>
        <v>0</v>
      </c>
      <c r="AE423" s="1">
        <f t="shared" si="641"/>
        <v>17.102561096277569</v>
      </c>
    </row>
    <row r="424" spans="1:31" ht="13.5" customHeight="1">
      <c r="A424" s="1">
        <v>5</v>
      </c>
      <c r="B424" s="3">
        <f t="shared" si="615"/>
        <v>1000</v>
      </c>
      <c r="C424" s="1">
        <f t="shared" si="616"/>
        <v>3.0510879805540601E-2</v>
      </c>
      <c r="D424" s="1">
        <f t="shared" si="613"/>
        <v>0.85632577169024904</v>
      </c>
      <c r="E424" s="1">
        <f t="shared" si="617"/>
        <v>74.102351304084436</v>
      </c>
      <c r="F424" s="1">
        <f t="shared" si="618"/>
        <v>20</v>
      </c>
      <c r="G424" s="1">
        <f t="shared" si="619"/>
        <v>996.09104259639753</v>
      </c>
      <c r="H424" s="1">
        <f t="shared" si="620"/>
        <v>66.329237730727058</v>
      </c>
      <c r="I424" s="1">
        <f t="shared" si="621"/>
        <v>196.65116306840926</v>
      </c>
      <c r="J424" s="3">
        <f t="shared" si="622"/>
        <v>22.360679774997898</v>
      </c>
      <c r="K424" s="47">
        <f t="shared" si="623"/>
        <v>0.17329086866056109</v>
      </c>
      <c r="L424" s="3">
        <f t="shared" si="624"/>
        <v>3</v>
      </c>
      <c r="M424" s="47">
        <f t="shared" si="625"/>
        <v>0.44150539786130205</v>
      </c>
      <c r="N424" s="47">
        <f t="shared" si="626"/>
        <v>428.57038198040817</v>
      </c>
      <c r="O424" s="1">
        <f t="shared" si="627"/>
        <v>0.99685202797072947</v>
      </c>
      <c r="P424" s="1">
        <f t="shared" si="628"/>
        <v>6.7949339114137928</v>
      </c>
      <c r="Q424" s="1">
        <f t="shared" si="629"/>
        <v>74.273201825369654</v>
      </c>
      <c r="R424" s="1">
        <f t="shared" si="630"/>
        <v>74.102351304084436</v>
      </c>
      <c r="S424" s="47">
        <f t="shared" si="631"/>
        <v>124.3487080274254</v>
      </c>
      <c r="T424" s="1">
        <f t="shared" si="632"/>
        <v>66.375797376109446</v>
      </c>
      <c r="U424" s="47">
        <f t="shared" si="633"/>
        <v>66.229807663134338</v>
      </c>
      <c r="V424" s="47">
        <f t="shared" si="634"/>
        <v>106.25447354324386</v>
      </c>
      <c r="W424" s="2">
        <f t="shared" si="614"/>
        <v>996.10104259639752</v>
      </c>
      <c r="X424" s="1">
        <f t="shared" si="635"/>
        <v>109.83916729994617</v>
      </c>
      <c r="Y424" s="1">
        <f t="shared" si="636"/>
        <v>13.385531200519347</v>
      </c>
      <c r="Z424" s="2">
        <f t="shared" si="637"/>
        <v>4.2187819352799156</v>
      </c>
      <c r="AA424" s="3">
        <f t="shared" si="638"/>
        <v>1000</v>
      </c>
      <c r="AB424" s="1">
        <f t="shared" si="583"/>
        <v>3.9142187758780533E-3</v>
      </c>
      <c r="AC424" s="1">
        <f t="shared" si="642"/>
        <v>0</v>
      </c>
      <c r="AD424" s="64">
        <f t="shared" si="584"/>
        <v>0</v>
      </c>
      <c r="AE424" s="1">
        <f t="shared" si="641"/>
        <v>17.102561096277569</v>
      </c>
    </row>
    <row r="425" spans="1:31" ht="13.5" customHeight="1">
      <c r="A425" s="1">
        <v>6</v>
      </c>
      <c r="B425" s="3">
        <f t="shared" si="615"/>
        <v>1000</v>
      </c>
      <c r="C425" s="1">
        <f t="shared" si="616"/>
        <v>2.9224366364515413E-2</v>
      </c>
      <c r="D425" s="1">
        <f t="shared" si="613"/>
        <v>0.85033512744597251</v>
      </c>
      <c r="E425" s="1">
        <f t="shared" si="617"/>
        <v>74.273201825369654</v>
      </c>
      <c r="F425" s="1">
        <f t="shared" si="618"/>
        <v>20</v>
      </c>
      <c r="G425" s="1">
        <f t="shared" si="619"/>
        <v>997.01046676590101</v>
      </c>
      <c r="H425" s="1">
        <f t="shared" si="620"/>
        <v>66.150409991076685</v>
      </c>
      <c r="I425" s="1">
        <f t="shared" si="621"/>
        <v>205.30812970115494</v>
      </c>
      <c r="J425" s="3">
        <f t="shared" si="622"/>
        <v>24.494897427831781</v>
      </c>
      <c r="K425" s="47">
        <f t="shared" si="623"/>
        <v>0.20251523502507651</v>
      </c>
      <c r="L425" s="3">
        <f t="shared" si="624"/>
        <v>3</v>
      </c>
      <c r="M425" s="47">
        <f t="shared" si="625"/>
        <v>0.42996865185791194</v>
      </c>
      <c r="N425" s="47">
        <f t="shared" si="626"/>
        <v>363.66246835078948</v>
      </c>
      <c r="O425" s="1">
        <f t="shared" si="627"/>
        <v>0.99706998979588057</v>
      </c>
      <c r="P425" s="1">
        <f t="shared" si="628"/>
        <v>6.977252846310722</v>
      </c>
      <c r="Q425" s="1">
        <f t="shared" si="629"/>
        <v>74.432690162984869</v>
      </c>
      <c r="R425" s="1">
        <f t="shared" si="630"/>
        <v>74.273201825369654</v>
      </c>
      <c r="S425" s="47">
        <f t="shared" si="631"/>
        <v>135.6550363387984</v>
      </c>
      <c r="T425" s="1">
        <f t="shared" si="632"/>
        <v>66.218350023137944</v>
      </c>
      <c r="U425" s="47">
        <f t="shared" si="633"/>
        <v>66.082929785952587</v>
      </c>
      <c r="V425" s="47">
        <f t="shared" si="634"/>
        <v>115.18357687512598</v>
      </c>
      <c r="W425" s="2">
        <f t="shared" si="614"/>
        <v>997.02046676590101</v>
      </c>
      <c r="X425" s="1">
        <f t="shared" si="635"/>
        <v>105.20771891225549</v>
      </c>
      <c r="Y425" s="1">
        <f t="shared" si="636"/>
        <v>14.242671964480163</v>
      </c>
      <c r="Z425" s="2">
        <f t="shared" si="637"/>
        <v>4.1029067267627468</v>
      </c>
      <c r="AA425" s="3">
        <f t="shared" si="638"/>
        <v>1000</v>
      </c>
      <c r="AB425" s="1">
        <f t="shared" si="583"/>
        <v>2.9884373825985744E-3</v>
      </c>
      <c r="AC425" s="1">
        <f t="shared" si="642"/>
        <v>0</v>
      </c>
      <c r="AD425" s="64">
        <f t="shared" si="584"/>
        <v>0</v>
      </c>
      <c r="AE425" s="1">
        <f t="shared" si="641"/>
        <v>17.102561096277569</v>
      </c>
    </row>
    <row r="426" spans="1:31" ht="13.5" customHeight="1">
      <c r="A426" s="1">
        <v>7</v>
      </c>
      <c r="B426" s="3">
        <f t="shared" si="615"/>
        <v>1000</v>
      </c>
      <c r="C426" s="1">
        <f t="shared" si="616"/>
        <v>2.8104698957010298E-2</v>
      </c>
      <c r="D426" s="1">
        <f t="shared" si="613"/>
        <v>0.84470286282700979</v>
      </c>
      <c r="E426" s="1">
        <f t="shared" si="617"/>
        <v>74.432690162984869</v>
      </c>
      <c r="F426" s="1">
        <f t="shared" si="618"/>
        <v>20</v>
      </c>
      <c r="G426" s="1">
        <f t="shared" si="619"/>
        <v>997.81832697592893</v>
      </c>
      <c r="H426" s="1">
        <f t="shared" si="620"/>
        <v>65.979449212048934</v>
      </c>
      <c r="I426" s="1">
        <f t="shared" si="621"/>
        <v>213.4874317343787</v>
      </c>
      <c r="J426" s="3">
        <f t="shared" si="622"/>
        <v>26.457513110645905</v>
      </c>
      <c r="K426" s="47">
        <f t="shared" si="623"/>
        <v>0.2306199339820868</v>
      </c>
      <c r="L426" s="3">
        <f t="shared" si="624"/>
        <v>3</v>
      </c>
      <c r="M426" s="47">
        <f t="shared" si="625"/>
        <v>0.41969050770170485</v>
      </c>
      <c r="N426" s="47">
        <f t="shared" si="626"/>
        <v>315.47015392416608</v>
      </c>
      <c r="O426" s="1">
        <f t="shared" si="627"/>
        <v>0.99723623649566817</v>
      </c>
      <c r="P426" s="1">
        <f t="shared" si="628"/>
        <v>7.1481244987610033</v>
      </c>
      <c r="Q426" s="1">
        <f t="shared" si="629"/>
        <v>74.583546175842685</v>
      </c>
      <c r="R426" s="1">
        <f t="shared" si="630"/>
        <v>74.432690162984869</v>
      </c>
      <c r="S426" s="47">
        <f t="shared" si="631"/>
        <v>146.11969564948501</v>
      </c>
      <c r="T426" s="1">
        <f t="shared" si="632"/>
        <v>66.070319035757478</v>
      </c>
      <c r="U426" s="47">
        <f t="shared" si="633"/>
        <v>65.942991569373532</v>
      </c>
      <c r="V426" s="47">
        <f t="shared" si="634"/>
        <v>123.3298579446067</v>
      </c>
      <c r="W426" s="2">
        <f t="shared" si="614"/>
        <v>997.82832697592892</v>
      </c>
      <c r="X426" s="1">
        <f t="shared" si="635"/>
        <v>101.17691624523708</v>
      </c>
      <c r="Y426" s="1">
        <f t="shared" si="636"/>
        <v>14.969996901181743</v>
      </c>
      <c r="Z426" s="2">
        <f t="shared" si="637"/>
        <v>4.0028940997424929</v>
      </c>
      <c r="AA426" s="3">
        <f t="shared" si="638"/>
        <v>1000</v>
      </c>
      <c r="AB426" s="1">
        <f t="shared" si="583"/>
        <v>2.1763994520507257E-3</v>
      </c>
      <c r="AC426" s="1">
        <f t="shared" si="642"/>
        <v>0</v>
      </c>
      <c r="AD426" s="64">
        <f t="shared" si="584"/>
        <v>0</v>
      </c>
      <c r="AE426" s="1">
        <f t="shared" si="641"/>
        <v>17.102561096277569</v>
      </c>
    </row>
    <row r="427" spans="1:31" ht="13.5" customHeight="1">
      <c r="A427" s="1">
        <v>8</v>
      </c>
      <c r="B427" s="3">
        <f t="shared" si="615"/>
        <v>1000</v>
      </c>
      <c r="C427" s="1">
        <f t="shared" si="616"/>
        <v>2.7111694858822675E-2</v>
      </c>
      <c r="D427" s="1">
        <f t="shared" si="613"/>
        <v>0.83934380785622198</v>
      </c>
      <c r="E427" s="1">
        <f t="shared" si="617"/>
        <v>74.583546175842685</v>
      </c>
      <c r="F427" s="1">
        <f t="shared" si="618"/>
        <v>20</v>
      </c>
      <c r="G427" s="1">
        <f t="shared" si="619"/>
        <v>998.53932892385751</v>
      </c>
      <c r="H427" s="1">
        <f t="shared" si="620"/>
        <v>65.814361493527713</v>
      </c>
      <c r="I427" s="1">
        <f t="shared" si="621"/>
        <v>221.30671030503586</v>
      </c>
      <c r="J427" s="3">
        <f t="shared" si="622"/>
        <v>28.284271247461902</v>
      </c>
      <c r="K427" s="47">
        <f t="shared" si="623"/>
        <v>0.2577316288409095</v>
      </c>
      <c r="L427" s="3">
        <f t="shared" si="624"/>
        <v>3</v>
      </c>
      <c r="M427" s="47">
        <f t="shared" si="625"/>
        <v>0.41040068286769021</v>
      </c>
      <c r="N427" s="47">
        <f t="shared" si="626"/>
        <v>278.19148296139122</v>
      </c>
      <c r="O427" s="1">
        <f t="shared" si="627"/>
        <v>0.99736804250546729</v>
      </c>
      <c r="P427" s="1">
        <f t="shared" si="628"/>
        <v>7.3099293574206241</v>
      </c>
      <c r="Q427" s="1">
        <f t="shared" si="629"/>
        <v>74.727586858231888</v>
      </c>
      <c r="R427" s="1">
        <f t="shared" si="630"/>
        <v>74.583546175842685</v>
      </c>
      <c r="S427" s="47">
        <f t="shared" si="631"/>
        <v>155.92012670441781</v>
      </c>
      <c r="T427" s="1">
        <f t="shared" si="632"/>
        <v>65.929460520112386</v>
      </c>
      <c r="U427" s="47">
        <f t="shared" si="633"/>
        <v>65.808576132276642</v>
      </c>
      <c r="V427" s="47">
        <f t="shared" si="634"/>
        <v>130.85406674904948</v>
      </c>
      <c r="W427" s="2">
        <f t="shared" si="614"/>
        <v>998.5493289238575</v>
      </c>
      <c r="X427" s="1">
        <f t="shared" si="635"/>
        <v>97.60210149176163</v>
      </c>
      <c r="Y427" s="1">
        <f t="shared" si="636"/>
        <v>15.600937209030075</v>
      </c>
      <c r="Z427" s="2">
        <f t="shared" si="637"/>
        <v>3.9143817671407173</v>
      </c>
      <c r="AA427" s="3">
        <f t="shared" si="638"/>
        <v>1000</v>
      </c>
      <c r="AB427" s="1">
        <f t="shared" si="583"/>
        <v>1.4527785800084736E-3</v>
      </c>
      <c r="AC427" s="1">
        <f t="shared" si="642"/>
        <v>0</v>
      </c>
      <c r="AD427" s="64">
        <f t="shared" si="584"/>
        <v>0</v>
      </c>
      <c r="AE427" s="1">
        <f t="shared" si="641"/>
        <v>17.102561096277569</v>
      </c>
    </row>
    <row r="428" spans="1:31" ht="13.5" customHeight="1">
      <c r="A428" s="1">
        <v>9</v>
      </c>
      <c r="B428" s="3">
        <f t="shared" si="615"/>
        <v>1000</v>
      </c>
      <c r="C428" s="1">
        <f t="shared" si="616"/>
        <v>2.6218729230954238E-2</v>
      </c>
      <c r="D428" s="1">
        <f t="shared" si="613"/>
        <v>0.83420139898608459</v>
      </c>
      <c r="E428" s="1">
        <f t="shared" si="617"/>
        <v>74.727586858231888</v>
      </c>
      <c r="F428" s="1">
        <f t="shared" si="618"/>
        <v>20</v>
      </c>
      <c r="G428" s="1">
        <f t="shared" si="619"/>
        <v>999.19002435596406</v>
      </c>
      <c r="H428" s="1">
        <f t="shared" si="620"/>
        <v>65.653829520269497</v>
      </c>
      <c r="I428" s="1">
        <f t="shared" si="621"/>
        <v>228.84404301777934</v>
      </c>
      <c r="J428" s="3">
        <f t="shared" si="622"/>
        <v>30</v>
      </c>
      <c r="K428" s="47">
        <f t="shared" si="623"/>
        <v>0.28395035807186375</v>
      </c>
      <c r="L428" s="3">
        <f t="shared" si="624"/>
        <v>3</v>
      </c>
      <c r="M428" s="47">
        <f t="shared" si="625"/>
        <v>0.40191133485047947</v>
      </c>
      <c r="N428" s="47">
        <f t="shared" si="626"/>
        <v>248.45604449935283</v>
      </c>
      <c r="O428" s="1">
        <f t="shared" si="627"/>
        <v>0.99747558691143889</v>
      </c>
      <c r="P428" s="1">
        <f t="shared" si="628"/>
        <v>7.4643329009769559</v>
      </c>
      <c r="Q428" s="1">
        <f t="shared" si="629"/>
        <v>74.866091537828169</v>
      </c>
      <c r="R428" s="1">
        <f t="shared" si="630"/>
        <v>74.727586858231888</v>
      </c>
      <c r="S428" s="47">
        <f t="shared" si="631"/>
        <v>165.17950413717452</v>
      </c>
      <c r="T428" s="1">
        <f t="shared" si="632"/>
        <v>65.79428750962029</v>
      </c>
      <c r="U428" s="47">
        <f t="shared" si="633"/>
        <v>65.678683810849677</v>
      </c>
      <c r="V428" s="47">
        <f t="shared" si="634"/>
        <v>137.86798897346262</v>
      </c>
      <c r="W428" s="2">
        <f t="shared" si="614"/>
        <v>999.20002435596405</v>
      </c>
      <c r="X428" s="1">
        <f t="shared" si="635"/>
        <v>94.387425231435259</v>
      </c>
      <c r="Y428" s="1">
        <f t="shared" si="636"/>
        <v>16.157320174952858</v>
      </c>
      <c r="Z428" s="2">
        <f t="shared" si="637"/>
        <v>3.8346261053566519</v>
      </c>
      <c r="AA428" s="3">
        <f t="shared" si="638"/>
        <v>1000</v>
      </c>
      <c r="AB428" s="1">
        <f t="shared" si="583"/>
        <v>8.0061611743009742E-4</v>
      </c>
      <c r="AC428" s="1">
        <f t="shared" si="642"/>
        <v>0</v>
      </c>
      <c r="AD428" s="64">
        <f t="shared" si="584"/>
        <v>0</v>
      </c>
      <c r="AE428" s="1">
        <f t="shared" si="641"/>
        <v>17.102561096277569</v>
      </c>
    </row>
    <row r="429" spans="1:31" ht="13.5" customHeight="1">
      <c r="A429" s="1">
        <v>10</v>
      </c>
      <c r="B429" s="3">
        <f t="shared" si="615"/>
        <v>1000</v>
      </c>
      <c r="C429" s="1">
        <f t="shared" si="616"/>
        <v>2.5407127392221757E-2</v>
      </c>
      <c r="D429" s="1">
        <f t="shared" si="613"/>
        <v>0.82923592774920318</v>
      </c>
      <c r="E429" s="1">
        <f t="shared" si="617"/>
        <v>74.866091537828169</v>
      </c>
      <c r="F429" s="1">
        <f t="shared" si="618"/>
        <v>20</v>
      </c>
      <c r="G429" s="1">
        <f t="shared" si="619"/>
        <v>999.78215833942909</v>
      </c>
      <c r="H429" s="1">
        <f t="shared" si="620"/>
        <v>65.496934318343648</v>
      </c>
      <c r="I429" s="1">
        <f t="shared" si="621"/>
        <v>236.15420615542962</v>
      </c>
      <c r="J429" s="3">
        <f t="shared" si="622"/>
        <v>31.622776601683793</v>
      </c>
      <c r="K429" s="47">
        <f t="shared" si="623"/>
        <v>0.30935748546408548</v>
      </c>
      <c r="L429" s="3">
        <f t="shared" si="624"/>
        <v>3</v>
      </c>
      <c r="M429" s="47">
        <f t="shared" si="625"/>
        <v>0.39408596874405794</v>
      </c>
      <c r="N429" s="47">
        <f t="shared" si="626"/>
        <v>224.16441616300284</v>
      </c>
      <c r="O429" s="1">
        <f t="shared" si="627"/>
        <v>0.99756530068778482</v>
      </c>
      <c r="P429" s="1">
        <f t="shared" si="628"/>
        <v>7.612552178807392</v>
      </c>
      <c r="Q429" s="1">
        <f t="shared" si="629"/>
        <v>75</v>
      </c>
      <c r="R429" s="1">
        <f t="shared" si="630"/>
        <v>74.866091537828169</v>
      </c>
      <c r="S429" s="47">
        <f t="shared" si="631"/>
        <v>173.98745758733432</v>
      </c>
      <c r="T429" s="1">
        <f t="shared" si="632"/>
        <v>65.663756961729973</v>
      </c>
      <c r="U429" s="47">
        <f t="shared" si="633"/>
        <v>65.55257944406209</v>
      </c>
      <c r="V429" s="47">
        <f t="shared" si="634"/>
        <v>144.45310868467882</v>
      </c>
      <c r="W429" s="2">
        <f t="shared" si="614"/>
        <v>999.79215833942908</v>
      </c>
      <c r="X429" s="1">
        <f t="shared" si="635"/>
        <v>91.465658611998322</v>
      </c>
      <c r="Y429" s="1">
        <f t="shared" si="636"/>
        <v>16.654232263951563</v>
      </c>
      <c r="Z429" s="2">
        <f t="shared" si="637"/>
        <v>3.7617847264832087</v>
      </c>
      <c r="AA429" s="3">
        <f t="shared" si="638"/>
        <v>1000</v>
      </c>
      <c r="AB429" s="1">
        <f t="shared" si="583"/>
        <v>2.0788486770695336E-4</v>
      </c>
      <c r="AC429" s="1">
        <f t="shared" si="642"/>
        <v>0</v>
      </c>
      <c r="AD429" s="64">
        <f t="shared" si="584"/>
        <v>0</v>
      </c>
      <c r="AE429" s="1">
        <f t="shared" si="641"/>
        <v>17.102561096277569</v>
      </c>
    </row>
    <row r="430" spans="1:31" ht="13.5" customHeight="1">
      <c r="K430" s="47"/>
      <c r="L430" s="47"/>
      <c r="M430" s="47"/>
      <c r="N430" s="47">
        <f>SUM(N420:N429)</f>
        <v>5551.2805481387832</v>
      </c>
      <c r="O430" s="2" t="s">
        <v>46</v>
      </c>
      <c r="P430" s="2"/>
      <c r="Q430" s="2"/>
      <c r="R430" s="49">
        <f>R410</f>
        <v>75</v>
      </c>
      <c r="S430" s="50" t="s">
        <v>45</v>
      </c>
      <c r="T430" s="2"/>
      <c r="U430" s="11">
        <f>U429</f>
        <v>65.55257944406209</v>
      </c>
      <c r="V430" s="47"/>
      <c r="W430" s="2"/>
      <c r="Y430" s="1">
        <f>N431</f>
        <v>17.102561096277569</v>
      </c>
      <c r="AE430" s="1">
        <f t="shared" si="641"/>
        <v>17.102561096277569</v>
      </c>
    </row>
    <row r="431" spans="1:31" ht="13.5" customHeight="1">
      <c r="K431" s="47"/>
      <c r="L431" s="2" t="s">
        <v>44</v>
      </c>
      <c r="M431" s="2"/>
      <c r="N431" s="47">
        <f>N430*2/1000+Y431</f>
        <v>17.102561096277569</v>
      </c>
      <c r="O431" s="2" t="s">
        <v>1</v>
      </c>
      <c r="P431" s="1">
        <f>SUM(P420:P429)</f>
        <v>68.235037345062267</v>
      </c>
      <c r="Q431" s="1" t="s">
        <v>43</v>
      </c>
      <c r="S431" s="47"/>
      <c r="U431" s="47"/>
      <c r="V431" s="47"/>
      <c r="W431" s="2"/>
      <c r="Y431" s="3">
        <f>Y411</f>
        <v>6</v>
      </c>
      <c r="Z431" s="3" t="s">
        <v>42</v>
      </c>
      <c r="AE431" s="1">
        <f>N431</f>
        <v>17.102561096277569</v>
      </c>
    </row>
    <row r="432" spans="1:31" ht="13.5" customHeight="1">
      <c r="L432" s="60" t="s">
        <v>41</v>
      </c>
      <c r="N432" s="3">
        <f>N412</f>
        <v>15</v>
      </c>
      <c r="O432" s="1" t="s">
        <v>1</v>
      </c>
    </row>
    <row r="435" spans="1:31" ht="13.5" customHeight="1" thickBot="1"/>
    <row r="436" spans="1:31" ht="13.5" customHeight="1">
      <c r="B436" s="14" t="s">
        <v>40</v>
      </c>
      <c r="C436" s="15"/>
      <c r="D436" s="15"/>
      <c r="E436" s="15"/>
      <c r="F436" s="15"/>
      <c r="G436" s="15"/>
      <c r="H436" s="15" t="s">
        <v>39</v>
      </c>
      <c r="I436" s="16"/>
      <c r="J436" s="14" t="s">
        <v>38</v>
      </c>
      <c r="K436" s="15"/>
      <c r="L436" s="15"/>
      <c r="M436" s="15"/>
      <c r="N436" s="15" t="s">
        <v>37</v>
      </c>
      <c r="O436" s="15"/>
      <c r="P436" s="15"/>
      <c r="Q436" s="15"/>
      <c r="R436" s="15"/>
      <c r="S436" s="16"/>
      <c r="T436" s="14" t="s">
        <v>36</v>
      </c>
      <c r="U436" s="15"/>
      <c r="V436" s="16"/>
      <c r="W436" s="14"/>
      <c r="X436" s="15"/>
      <c r="Y436" s="15"/>
      <c r="Z436" s="16"/>
    </row>
    <row r="437" spans="1:31" ht="13.5" customHeight="1">
      <c r="B437" s="17" t="s">
        <v>35</v>
      </c>
      <c r="C437" s="18" t="s">
        <v>22</v>
      </c>
      <c r="D437" s="18"/>
      <c r="E437" s="18" t="s">
        <v>34</v>
      </c>
      <c r="F437" s="18" t="s">
        <v>33</v>
      </c>
      <c r="G437" s="18" t="s">
        <v>7</v>
      </c>
      <c r="H437" s="18" t="s">
        <v>32</v>
      </c>
      <c r="I437" s="19" t="s">
        <v>22</v>
      </c>
      <c r="J437" s="17" t="s">
        <v>31</v>
      </c>
      <c r="K437" s="18"/>
      <c r="L437" s="18" t="s">
        <v>30</v>
      </c>
      <c r="M437" s="18"/>
      <c r="N437" s="18" t="s">
        <v>29</v>
      </c>
      <c r="O437" s="18"/>
      <c r="P437" s="18" t="s">
        <v>28</v>
      </c>
      <c r="Q437" s="20" t="s">
        <v>27</v>
      </c>
      <c r="R437" s="21" t="s">
        <v>26</v>
      </c>
      <c r="S437" s="22" t="s">
        <v>7</v>
      </c>
      <c r="T437" s="23" t="s">
        <v>25</v>
      </c>
      <c r="U437" s="24" t="s">
        <v>24</v>
      </c>
      <c r="V437" s="25" t="s">
        <v>7</v>
      </c>
      <c r="W437" s="26" t="s">
        <v>23</v>
      </c>
      <c r="X437" s="4" t="s">
        <v>22</v>
      </c>
      <c r="Y437" s="4" t="s">
        <v>21</v>
      </c>
      <c r="Z437" s="5" t="s">
        <v>20</v>
      </c>
    </row>
    <row r="438" spans="1:31" ht="13.5" customHeight="1">
      <c r="B438" s="54" t="s">
        <v>3</v>
      </c>
      <c r="C438" s="28" t="s">
        <v>17</v>
      </c>
      <c r="D438" s="20" t="s">
        <v>13</v>
      </c>
      <c r="E438" s="20" t="s">
        <v>19</v>
      </c>
      <c r="F438" s="28" t="s">
        <v>19</v>
      </c>
      <c r="G438" s="20" t="s">
        <v>3</v>
      </c>
      <c r="H438" s="20" t="s">
        <v>19</v>
      </c>
      <c r="I438" s="29" t="s">
        <v>12</v>
      </c>
      <c r="J438" s="55" t="s">
        <v>18</v>
      </c>
      <c r="K438" s="20" t="s">
        <v>17</v>
      </c>
      <c r="L438" s="56" t="s">
        <v>16</v>
      </c>
      <c r="M438" s="20" t="s">
        <v>15</v>
      </c>
      <c r="N438" s="20" t="s">
        <v>14</v>
      </c>
      <c r="O438" s="20" t="s">
        <v>13</v>
      </c>
      <c r="P438" s="20" t="s">
        <v>12</v>
      </c>
      <c r="Q438" s="20" t="s">
        <v>11</v>
      </c>
      <c r="R438" s="21" t="s">
        <v>11</v>
      </c>
      <c r="S438" s="22" t="s">
        <v>10</v>
      </c>
      <c r="T438" s="23" t="s">
        <v>9</v>
      </c>
      <c r="U438" s="24" t="s">
        <v>9</v>
      </c>
      <c r="V438" s="33" t="s">
        <v>8</v>
      </c>
      <c r="W438" s="34" t="s">
        <v>7</v>
      </c>
      <c r="X438" s="4" t="s">
        <v>6</v>
      </c>
      <c r="Y438" s="6" t="s">
        <v>5</v>
      </c>
      <c r="Z438" s="7" t="s">
        <v>5</v>
      </c>
    </row>
    <row r="439" spans="1:31" ht="13.5" customHeight="1" thickBot="1">
      <c r="B439" s="57"/>
      <c r="C439" s="3">
        <f>C419</f>
        <v>1.05</v>
      </c>
      <c r="D439" s="37"/>
      <c r="E439" s="38"/>
      <c r="F439" s="38"/>
      <c r="G439" s="37"/>
      <c r="H439" s="37"/>
      <c r="I439" s="39"/>
      <c r="J439" s="58" t="s">
        <v>4</v>
      </c>
      <c r="K439" s="44"/>
      <c r="L439" s="59"/>
      <c r="M439" s="37"/>
      <c r="N439" s="37"/>
      <c r="O439" s="37"/>
      <c r="P439" s="37"/>
      <c r="Q439" s="42"/>
      <c r="R439" s="42"/>
      <c r="S439" s="52" t="s">
        <v>3</v>
      </c>
      <c r="T439" s="43"/>
      <c r="U439" s="44"/>
      <c r="V439" s="39" t="s">
        <v>3</v>
      </c>
      <c r="W439" s="45" t="s">
        <v>3</v>
      </c>
      <c r="X439" s="8" t="s">
        <v>2</v>
      </c>
      <c r="Y439" s="9" t="s">
        <v>1</v>
      </c>
      <c r="Z439" s="13" t="s">
        <v>0</v>
      </c>
    </row>
    <row r="440" spans="1:31" ht="13.5" customHeight="1">
      <c r="A440" s="1">
        <v>1</v>
      </c>
      <c r="B440" s="3">
        <f t="shared" ref="B440:B449" si="643">B420</f>
        <v>1000</v>
      </c>
      <c r="C440" s="1">
        <f t="shared" ref="C440:C449" si="644">IF(B440&lt;1,0.000001,C420*(1+AB420))</f>
        <v>4.0881040385676685E-2</v>
      </c>
      <c r="D440" s="1">
        <f t="shared" si="613"/>
        <v>0.89139915250478485</v>
      </c>
      <c r="E440" s="1">
        <f t="shared" ref="E440:E449" si="645">R440</f>
        <v>73.112518011539578</v>
      </c>
      <c r="F440" s="1">
        <f t="shared" ref="F440:F449" si="646">F420</f>
        <v>20</v>
      </c>
      <c r="G440" s="1">
        <f t="shared" ref="G440:G449" si="647">(E440-F440)*C440*(1-D440)*4200</f>
        <v>990.37880125966979</v>
      </c>
      <c r="H440" s="1">
        <f t="shared" ref="H440:H449" si="648">(E440-F440)*D440+F440</f>
        <v>67.344453542881496</v>
      </c>
      <c r="I440" s="1">
        <f t="shared" ref="I440:I449" si="649">B440*0.001*6/C440</f>
        <v>146.76730199122315</v>
      </c>
      <c r="J440" s="3">
        <f t="shared" ref="J440:J449" si="650">J420</f>
        <v>10</v>
      </c>
      <c r="K440" s="47">
        <f t="shared" ref="K440:K449" si="651">K439+C440</f>
        <v>4.0881040385676685E-2</v>
      </c>
      <c r="L440" s="3">
        <f t="shared" ref="L440:L449" si="652">L420</f>
        <v>3</v>
      </c>
      <c r="M440" s="47">
        <f t="shared" ref="M440:M449" si="653">K440/(J440*J440*3.14/4000)</f>
        <v>0.52077758453091316</v>
      </c>
      <c r="N440" s="47">
        <f t="shared" ref="N440:N449" si="654">L440*26400/J440^1.27*M440^1.83*$N$69</f>
        <v>1611.0494550897238</v>
      </c>
      <c r="O440" s="1">
        <f t="shared" ref="O440:O449" si="655">EXP(-(J440+2)*3.14/1000*$O$66/(M440*J440*J440*3.14/4000*4200)*L440)</f>
        <v>0.99343806233032739</v>
      </c>
      <c r="P440" s="1">
        <f t="shared" ref="P440:P449" si="656">L440/M440</f>
        <v>5.7606166031555093</v>
      </c>
      <c r="Q440" s="1">
        <f t="shared" ref="Q440:Q449" si="657">R441</f>
        <v>73.463341123605119</v>
      </c>
      <c r="R440" s="1">
        <f t="shared" ref="R440:R449" si="658">(Q440-F440)*O440+F440</f>
        <v>73.112518011539578</v>
      </c>
      <c r="S440" s="47">
        <f t="shared" ref="S440:S449" si="659">K440*(1-O440)*4200*(Q440-F440)</f>
        <v>60.236458012836721</v>
      </c>
      <c r="T440" s="1">
        <f t="shared" ref="T440:T449" si="660">(U439*K439+H440*C440)/K440</f>
        <v>67.344453542881496</v>
      </c>
      <c r="U440" s="47">
        <f t="shared" ref="U440:U449" si="661">(T440-F440)*O440+F440</f>
        <v>67.033782189728399</v>
      </c>
      <c r="V440" s="47">
        <f t="shared" ref="V440:V449" si="662">K440*(1-O440)*4200*(T440-F440)</f>
        <v>53.342386166683603</v>
      </c>
      <c r="W440" s="2">
        <f t="shared" si="614"/>
        <v>990.38880125966978</v>
      </c>
      <c r="X440" s="1">
        <f t="shared" ref="X440:X449" si="663">C440*3600</f>
        <v>147.17174538843608</v>
      </c>
      <c r="Y440" s="1">
        <f t="shared" ref="Y440:Y449" si="664">Y441-2*N440/1000</f>
        <v>6.0000000000000036</v>
      </c>
      <c r="Z440" s="2">
        <f t="shared" ref="Z440:Z449" si="665">-1.1-1.8*LOG10(Y440/X440/X440)</f>
        <v>5.303495734886944</v>
      </c>
      <c r="AA440" s="3">
        <f t="shared" ref="AA440:AA449" si="666">AA420</f>
        <v>1000</v>
      </c>
      <c r="AB440" s="1">
        <f t="shared" ref="AB440" si="667">((AA440/W440)-1)*AB$23+AC440+AD440</f>
        <v>9.7044703333739601E-3</v>
      </c>
      <c r="AC440" s="1">
        <f>((N452/N451)-1)*AB$24</f>
        <v>0</v>
      </c>
      <c r="AD440" s="64">
        <f t="shared" ref="AD440" si="668">(AC$21-(X440/1000/SQRT(Y440/104))*1000/B440)*AB$21</f>
        <v>0</v>
      </c>
      <c r="AE440" s="1">
        <f t="shared" ref="AE440:AE450" si="669">AE441</f>
        <v>17.272446692059297</v>
      </c>
    </row>
    <row r="441" spans="1:31" ht="13.5" customHeight="1">
      <c r="A441" s="1">
        <v>2</v>
      </c>
      <c r="B441" s="3">
        <f t="shared" si="643"/>
        <v>1000</v>
      </c>
      <c r="C441" s="1">
        <f t="shared" si="644"/>
        <v>3.6690424966091539E-2</v>
      </c>
      <c r="D441" s="1">
        <f t="shared" si="613"/>
        <v>0.87949437796867258</v>
      </c>
      <c r="E441" s="1">
        <f t="shared" si="645"/>
        <v>73.463341123605119</v>
      </c>
      <c r="F441" s="1">
        <f t="shared" si="646"/>
        <v>20</v>
      </c>
      <c r="G441" s="1">
        <f t="shared" si="647"/>
        <v>992.80838664198768</v>
      </c>
      <c r="H441" s="1">
        <f t="shared" si="648"/>
        <v>67.02070794563204</v>
      </c>
      <c r="I441" s="1">
        <f t="shared" si="649"/>
        <v>163.5304035193123</v>
      </c>
      <c r="J441" s="3">
        <f t="shared" si="650"/>
        <v>14.142135623730951</v>
      </c>
      <c r="K441" s="47">
        <f t="shared" si="651"/>
        <v>7.7571465351768232E-2</v>
      </c>
      <c r="L441" s="3">
        <f t="shared" si="652"/>
        <v>3</v>
      </c>
      <c r="M441" s="47">
        <f t="shared" si="653"/>
        <v>0.49408576657177211</v>
      </c>
      <c r="N441" s="47">
        <f t="shared" si="654"/>
        <v>942.19204947099456</v>
      </c>
      <c r="O441" s="1">
        <f t="shared" si="655"/>
        <v>0.99534362955995359</v>
      </c>
      <c r="P441" s="1">
        <f t="shared" si="656"/>
        <v>6.0718203254782743</v>
      </c>
      <c r="Q441" s="1">
        <f t="shared" si="657"/>
        <v>73.713450848368353</v>
      </c>
      <c r="R441" s="1">
        <f t="shared" si="658"/>
        <v>73.463341123605119</v>
      </c>
      <c r="S441" s="47">
        <f t="shared" si="659"/>
        <v>81.485786964166365</v>
      </c>
      <c r="T441" s="1">
        <f t="shared" si="660"/>
        <v>67.027598220277383</v>
      </c>
      <c r="U441" s="47">
        <f t="shared" si="661"/>
        <v>66.808620302058102</v>
      </c>
      <c r="V441" s="47">
        <f t="shared" si="662"/>
        <v>71.343039582986293</v>
      </c>
      <c r="W441" s="2">
        <f t="shared" si="614"/>
        <v>992.81838664198767</v>
      </c>
      <c r="X441" s="1">
        <f t="shared" si="663"/>
        <v>132.08552987792953</v>
      </c>
      <c r="Y441" s="1">
        <f t="shared" si="664"/>
        <v>9.2220989101794508</v>
      </c>
      <c r="Z441" s="2">
        <f t="shared" si="665"/>
        <v>4.7983852773747007</v>
      </c>
      <c r="AA441" s="3">
        <f t="shared" si="666"/>
        <v>1000</v>
      </c>
      <c r="AB441" s="1">
        <f t="shared" si="583"/>
        <v>7.2335620035228754E-3</v>
      </c>
      <c r="AC441" s="1">
        <f t="shared" ref="AC441:AC449" si="670">AC440</f>
        <v>0</v>
      </c>
      <c r="AD441" s="64">
        <f t="shared" si="584"/>
        <v>0</v>
      </c>
      <c r="AE441" s="1">
        <f t="shared" si="669"/>
        <v>17.272446692059297</v>
      </c>
    </row>
    <row r="442" spans="1:31" ht="13.5" customHeight="1">
      <c r="A442" s="1">
        <v>3</v>
      </c>
      <c r="B442" s="3">
        <f t="shared" si="643"/>
        <v>1000</v>
      </c>
      <c r="C442" s="1">
        <f t="shared" si="644"/>
        <v>3.4115902042606193E-2</v>
      </c>
      <c r="D442" s="1">
        <f t="shared" si="613"/>
        <v>0.87080300630334617</v>
      </c>
      <c r="E442" s="1">
        <f t="shared" si="645"/>
        <v>73.713450848368353</v>
      </c>
      <c r="F442" s="1">
        <f t="shared" si="646"/>
        <v>20</v>
      </c>
      <c r="G442" s="1">
        <f t="shared" si="647"/>
        <v>994.35534372492884</v>
      </c>
      <c r="H442" s="1">
        <f t="shared" si="648"/>
        <v>66.773834477686179</v>
      </c>
      <c r="I442" s="1">
        <f t="shared" si="649"/>
        <v>175.87106424759935</v>
      </c>
      <c r="J442" s="3">
        <f t="shared" si="650"/>
        <v>17.320508075688775</v>
      </c>
      <c r="K442" s="47">
        <f t="shared" si="651"/>
        <v>0.11168736739437443</v>
      </c>
      <c r="L442" s="3">
        <f t="shared" si="652"/>
        <v>3</v>
      </c>
      <c r="M442" s="47">
        <f t="shared" si="653"/>
        <v>0.47425633713110149</v>
      </c>
      <c r="N442" s="47">
        <f t="shared" si="654"/>
        <v>675.72074013563395</v>
      </c>
      <c r="O442" s="1">
        <f t="shared" si="655"/>
        <v>0.99612765652048441</v>
      </c>
      <c r="P442" s="1">
        <f t="shared" si="656"/>
        <v>6.3256930168772678</v>
      </c>
      <c r="Q442" s="1">
        <f t="shared" si="657"/>
        <v>73.922256346131064</v>
      </c>
      <c r="R442" s="1">
        <f t="shared" si="658"/>
        <v>73.713450848368353</v>
      </c>
      <c r="S442" s="47">
        <f t="shared" si="659"/>
        <v>97.947932638873411</v>
      </c>
      <c r="T442" s="1">
        <f t="shared" si="660"/>
        <v>66.797994661894563</v>
      </c>
      <c r="U442" s="47">
        <f t="shared" si="661"/>
        <v>66.61677675241117</v>
      </c>
      <c r="V442" s="47">
        <f t="shared" si="662"/>
        <v>85.006955186631259</v>
      </c>
      <c r="W442" s="2">
        <f t="shared" si="614"/>
        <v>994.36534372492883</v>
      </c>
      <c r="X442" s="1">
        <f t="shared" si="663"/>
        <v>122.8172473533823</v>
      </c>
      <c r="Y442" s="1">
        <f t="shared" si="664"/>
        <v>11.10648300912144</v>
      </c>
      <c r="Z442" s="2">
        <f t="shared" si="665"/>
        <v>4.5392958924507063</v>
      </c>
      <c r="AA442" s="3">
        <f t="shared" si="666"/>
        <v>1000</v>
      </c>
      <c r="AB442" s="1">
        <f t="shared" si="583"/>
        <v>5.666585536824531E-3</v>
      </c>
      <c r="AC442" s="1">
        <f t="shared" si="670"/>
        <v>0</v>
      </c>
      <c r="AD442" s="64">
        <f t="shared" si="584"/>
        <v>0</v>
      </c>
      <c r="AE442" s="1">
        <f t="shared" si="669"/>
        <v>17.272446692059297</v>
      </c>
    </row>
    <row r="443" spans="1:31" ht="13.5" customHeight="1">
      <c r="A443" s="1">
        <v>4</v>
      </c>
      <c r="B443" s="3">
        <f t="shared" si="643"/>
        <v>1000</v>
      </c>
      <c r="C443" s="1">
        <f t="shared" si="644"/>
        <v>3.2189868969170927E-2</v>
      </c>
      <c r="D443" s="1">
        <f t="shared" si="613"/>
        <v>0.86344053344631433</v>
      </c>
      <c r="E443" s="1">
        <f t="shared" si="645"/>
        <v>73.922256346131064</v>
      </c>
      <c r="F443" s="1">
        <f t="shared" si="646"/>
        <v>20</v>
      </c>
      <c r="G443" s="1">
        <f t="shared" si="647"/>
        <v>995.53920518992527</v>
      </c>
      <c r="H443" s="1">
        <f t="shared" si="648"/>
        <v>66.558661784132312</v>
      </c>
      <c r="I443" s="1">
        <f t="shared" si="649"/>
        <v>186.3940485668443</v>
      </c>
      <c r="J443" s="3">
        <f t="shared" si="650"/>
        <v>20</v>
      </c>
      <c r="K443" s="47">
        <f t="shared" si="651"/>
        <v>0.14387723636354535</v>
      </c>
      <c r="L443" s="3">
        <f t="shared" si="652"/>
        <v>3</v>
      </c>
      <c r="M443" s="47">
        <f t="shared" si="653"/>
        <v>0.45820775911957118</v>
      </c>
      <c r="N443" s="47">
        <f t="shared" si="654"/>
        <v>528.53209349847782</v>
      </c>
      <c r="O443" s="1">
        <f t="shared" si="655"/>
        <v>0.99657636300968289</v>
      </c>
      <c r="P443" s="1">
        <f t="shared" si="656"/>
        <v>6.5472483612333106</v>
      </c>
      <c r="Q443" s="1">
        <f t="shared" si="657"/>
        <v>74.107500787280003</v>
      </c>
      <c r="R443" s="1">
        <f t="shared" si="658"/>
        <v>73.922256346131064</v>
      </c>
      <c r="S443" s="47">
        <f t="shared" si="659"/>
        <v>111.94032462572193</v>
      </c>
      <c r="T443" s="1">
        <f t="shared" si="660"/>
        <v>66.603774603764691</v>
      </c>
      <c r="U443" s="47">
        <f t="shared" si="661"/>
        <v>66.44422019714284</v>
      </c>
      <c r="V443" s="47">
        <f t="shared" si="662"/>
        <v>96.416237712384032</v>
      </c>
      <c r="W443" s="2">
        <f t="shared" si="614"/>
        <v>995.54920518992526</v>
      </c>
      <c r="X443" s="1">
        <f t="shared" si="663"/>
        <v>115.88352828901535</v>
      </c>
      <c r="Y443" s="1">
        <f t="shared" si="664"/>
        <v>12.457924489392708</v>
      </c>
      <c r="Z443" s="2">
        <f t="shared" si="665"/>
        <v>4.3586759051625332</v>
      </c>
      <c r="AA443" s="3">
        <f t="shared" si="666"/>
        <v>1000</v>
      </c>
      <c r="AB443" s="1">
        <f t="shared" si="583"/>
        <v>4.470692947040833E-3</v>
      </c>
      <c r="AC443" s="1">
        <f t="shared" si="670"/>
        <v>0</v>
      </c>
      <c r="AD443" s="64">
        <f t="shared" si="584"/>
        <v>0</v>
      </c>
      <c r="AE443" s="1">
        <f t="shared" si="669"/>
        <v>17.272446692059297</v>
      </c>
    </row>
    <row r="444" spans="1:31" ht="13.5" customHeight="1">
      <c r="A444" s="1">
        <v>5</v>
      </c>
      <c r="B444" s="3">
        <f t="shared" si="643"/>
        <v>1000</v>
      </c>
      <c r="C444" s="1">
        <f t="shared" si="644"/>
        <v>3.0630306064144006E-2</v>
      </c>
      <c r="D444" s="1">
        <f t="shared" si="613"/>
        <v>0.85683904812225187</v>
      </c>
      <c r="E444" s="1">
        <f t="shared" si="645"/>
        <v>74.107500787280003</v>
      </c>
      <c r="F444" s="1">
        <f t="shared" si="646"/>
        <v>20</v>
      </c>
      <c r="G444" s="1">
        <f t="shared" si="647"/>
        <v>996.51233438438078</v>
      </c>
      <c r="H444" s="1">
        <f t="shared" si="648"/>
        <v>66.361419470846982</v>
      </c>
      <c r="I444" s="1">
        <f t="shared" si="649"/>
        <v>195.88442856023664</v>
      </c>
      <c r="J444" s="3">
        <f t="shared" si="650"/>
        <v>22.360679774997898</v>
      </c>
      <c r="K444" s="47">
        <f t="shared" si="651"/>
        <v>0.17450754242768934</v>
      </c>
      <c r="L444" s="3">
        <f t="shared" si="652"/>
        <v>3</v>
      </c>
      <c r="M444" s="47">
        <f t="shared" si="653"/>
        <v>0.44460520363742501</v>
      </c>
      <c r="N444" s="47">
        <f t="shared" si="654"/>
        <v>434.09286993616439</v>
      </c>
      <c r="O444" s="1">
        <f t="shared" si="655"/>
        <v>0.99687394142029506</v>
      </c>
      <c r="P444" s="1">
        <f t="shared" si="656"/>
        <v>6.7475593525587616</v>
      </c>
      <c r="Q444" s="1">
        <f t="shared" si="657"/>
        <v>74.277174414039152</v>
      </c>
      <c r="R444" s="1">
        <f t="shared" si="658"/>
        <v>74.107500787280003</v>
      </c>
      <c r="S444" s="47">
        <f t="shared" si="659"/>
        <v>124.35917600623448</v>
      </c>
      <c r="T444" s="1">
        <f t="shared" si="660"/>
        <v>66.429686661494515</v>
      </c>
      <c r="U444" s="47">
        <f t="shared" si="661"/>
        <v>66.28454474115334</v>
      </c>
      <c r="V444" s="47">
        <f t="shared" si="662"/>
        <v>106.37911125229175</v>
      </c>
      <c r="W444" s="2">
        <f t="shared" si="614"/>
        <v>996.52233438438077</v>
      </c>
      <c r="X444" s="1">
        <f t="shared" si="663"/>
        <v>110.26910183091842</v>
      </c>
      <c r="Y444" s="1">
        <f t="shared" si="664"/>
        <v>13.514988676389663</v>
      </c>
      <c r="Z444" s="2">
        <f t="shared" si="665"/>
        <v>4.2173655786644755</v>
      </c>
      <c r="AA444" s="3">
        <f t="shared" si="666"/>
        <v>1000</v>
      </c>
      <c r="AB444" s="1">
        <f t="shared" si="583"/>
        <v>3.4898019799702862E-3</v>
      </c>
      <c r="AC444" s="1">
        <f t="shared" si="670"/>
        <v>0</v>
      </c>
      <c r="AD444" s="64">
        <f t="shared" si="584"/>
        <v>0</v>
      </c>
      <c r="AE444" s="1">
        <f t="shared" si="669"/>
        <v>17.272446692059297</v>
      </c>
    </row>
    <row r="445" spans="1:31" ht="13.5" customHeight="1">
      <c r="A445" s="1">
        <v>6</v>
      </c>
      <c r="B445" s="3">
        <f t="shared" si="643"/>
        <v>1000</v>
      </c>
      <c r="C445" s="1">
        <f t="shared" si="644"/>
        <v>2.9311701553441885E-2</v>
      </c>
      <c r="D445" s="1">
        <f t="shared" si="613"/>
        <v>0.85074219276036878</v>
      </c>
      <c r="E445" s="1">
        <f t="shared" si="645"/>
        <v>74.277174414039152</v>
      </c>
      <c r="F445" s="1">
        <f t="shared" si="646"/>
        <v>20</v>
      </c>
      <c r="G445" s="1">
        <f t="shared" si="647"/>
        <v>997.3431483222613</v>
      </c>
      <c r="H445" s="1">
        <f t="shared" si="648"/>
        <v>66.175882377836643</v>
      </c>
      <c r="I445" s="1">
        <f t="shared" si="649"/>
        <v>204.69640730547962</v>
      </c>
      <c r="J445" s="3">
        <f t="shared" si="650"/>
        <v>24.494897427831781</v>
      </c>
      <c r="K445" s="47">
        <f t="shared" si="651"/>
        <v>0.20381924398113122</v>
      </c>
      <c r="L445" s="3">
        <f t="shared" si="652"/>
        <v>3</v>
      </c>
      <c r="M445" s="47">
        <f t="shared" si="653"/>
        <v>0.43273724836758221</v>
      </c>
      <c r="N445" s="47">
        <f t="shared" si="654"/>
        <v>367.95912849607748</v>
      </c>
      <c r="O445" s="1">
        <f t="shared" si="655"/>
        <v>0.99708870830536833</v>
      </c>
      <c r="P445" s="1">
        <f t="shared" si="656"/>
        <v>6.9326132920540608</v>
      </c>
      <c r="Q445" s="1">
        <f t="shared" si="657"/>
        <v>74.435652476987258</v>
      </c>
      <c r="R445" s="1">
        <f t="shared" si="658"/>
        <v>74.277174414039152</v>
      </c>
      <c r="S445" s="47">
        <f t="shared" si="659"/>
        <v>135.66369170624617</v>
      </c>
      <c r="T445" s="1">
        <f t="shared" si="660"/>
        <v>66.268917763536237</v>
      </c>
      <c r="U445" s="47">
        <f t="shared" si="661"/>
        <v>66.134215447531659</v>
      </c>
      <c r="V445" s="47">
        <f t="shared" si="662"/>
        <v>115.31068168435478</v>
      </c>
      <c r="W445" s="2">
        <f t="shared" si="614"/>
        <v>997.35314832226129</v>
      </c>
      <c r="X445" s="1">
        <f t="shared" si="663"/>
        <v>105.52212559239079</v>
      </c>
      <c r="Y445" s="1">
        <f t="shared" si="664"/>
        <v>14.383174416261992</v>
      </c>
      <c r="Z445" s="2">
        <f t="shared" si="665"/>
        <v>4.0998981666732135</v>
      </c>
      <c r="AA445" s="3">
        <f t="shared" si="666"/>
        <v>1000</v>
      </c>
      <c r="AB445" s="1">
        <f t="shared" si="583"/>
        <v>2.6538760941310358E-3</v>
      </c>
      <c r="AC445" s="1">
        <f t="shared" si="670"/>
        <v>0</v>
      </c>
      <c r="AD445" s="64">
        <f t="shared" si="584"/>
        <v>0</v>
      </c>
      <c r="AE445" s="1">
        <f t="shared" si="669"/>
        <v>17.272446692059297</v>
      </c>
    </row>
    <row r="446" spans="1:31" ht="13.5" customHeight="1">
      <c r="A446" s="1">
        <v>7</v>
      </c>
      <c r="B446" s="3">
        <f t="shared" si="643"/>
        <v>1000</v>
      </c>
      <c r="C446" s="1">
        <f t="shared" si="644"/>
        <v>2.8165866008420387E-2</v>
      </c>
      <c r="D446" s="1">
        <f t="shared" si="613"/>
        <v>0.84500959105394746</v>
      </c>
      <c r="E446" s="1">
        <f t="shared" si="645"/>
        <v>74.435652476987258</v>
      </c>
      <c r="F446" s="1">
        <f t="shared" si="646"/>
        <v>20</v>
      </c>
      <c r="G446" s="1">
        <f t="shared" si="647"/>
        <v>998.06920611390217</v>
      </c>
      <c r="H446" s="1">
        <f t="shared" si="648"/>
        <v>65.998648438333802</v>
      </c>
      <c r="I446" s="1">
        <f t="shared" si="649"/>
        <v>213.0238068379029</v>
      </c>
      <c r="J446" s="3">
        <f t="shared" si="650"/>
        <v>26.457513110645905</v>
      </c>
      <c r="K446" s="47">
        <f t="shared" si="651"/>
        <v>0.2319851099895516</v>
      </c>
      <c r="L446" s="3">
        <f t="shared" si="652"/>
        <v>3</v>
      </c>
      <c r="M446" s="47">
        <f t="shared" si="653"/>
        <v>0.42217490443958439</v>
      </c>
      <c r="N446" s="47">
        <f t="shared" si="654"/>
        <v>318.89598865190885</v>
      </c>
      <c r="O446" s="1">
        <f t="shared" si="655"/>
        <v>0.99725247820888263</v>
      </c>
      <c r="P446" s="1">
        <f t="shared" si="656"/>
        <v>7.1060595228471639</v>
      </c>
      <c r="Q446" s="1">
        <f t="shared" si="657"/>
        <v>74.585627678515806</v>
      </c>
      <c r="R446" s="1">
        <f t="shared" si="658"/>
        <v>74.435652476987258</v>
      </c>
      <c r="S446" s="47">
        <f t="shared" si="659"/>
        <v>146.1264572136763</v>
      </c>
      <c r="T446" s="1">
        <f t="shared" si="660"/>
        <v>66.117755933313703</v>
      </c>
      <c r="U446" s="47">
        <f t="shared" si="661"/>
        <v>65.991046393929494</v>
      </c>
      <c r="V446" s="47">
        <f t="shared" si="662"/>
        <v>123.45785100924145</v>
      </c>
      <c r="W446" s="2">
        <f t="shared" si="614"/>
        <v>998.07920611390216</v>
      </c>
      <c r="X446" s="1">
        <f t="shared" si="663"/>
        <v>101.39711763031339</v>
      </c>
      <c r="Y446" s="1">
        <f t="shared" si="664"/>
        <v>15.119092673254148</v>
      </c>
      <c r="Z446" s="2">
        <f t="shared" si="665"/>
        <v>3.9985458825200184</v>
      </c>
      <c r="AA446" s="3">
        <f t="shared" si="666"/>
        <v>1000</v>
      </c>
      <c r="AB446" s="1">
        <f t="shared" si="583"/>
        <v>1.924490435560422E-3</v>
      </c>
      <c r="AC446" s="1">
        <f t="shared" si="670"/>
        <v>0</v>
      </c>
      <c r="AD446" s="64">
        <f t="shared" si="584"/>
        <v>0</v>
      </c>
      <c r="AE446" s="1">
        <f t="shared" si="669"/>
        <v>17.272446692059297</v>
      </c>
    </row>
    <row r="447" spans="1:31" ht="13.5" customHeight="1">
      <c r="A447" s="1">
        <v>8</v>
      </c>
      <c r="B447" s="3">
        <f t="shared" si="643"/>
        <v>1000</v>
      </c>
      <c r="C447" s="1">
        <f t="shared" si="644"/>
        <v>2.7151082148381297E-2</v>
      </c>
      <c r="D447" s="1">
        <f t="shared" si="613"/>
        <v>0.83955496364719828</v>
      </c>
      <c r="E447" s="1">
        <f t="shared" si="645"/>
        <v>74.585627678515806</v>
      </c>
      <c r="F447" s="1">
        <f t="shared" si="646"/>
        <v>20</v>
      </c>
      <c r="G447" s="1">
        <f t="shared" si="647"/>
        <v>998.71374903505432</v>
      </c>
      <c r="H447" s="1">
        <f t="shared" si="648"/>
        <v>65.827634661295832</v>
      </c>
      <c r="I447" s="1">
        <f t="shared" si="649"/>
        <v>220.98566706144013</v>
      </c>
      <c r="J447" s="3">
        <f t="shared" si="650"/>
        <v>28.284271247461902</v>
      </c>
      <c r="K447" s="47">
        <f t="shared" si="651"/>
        <v>0.25913619213793287</v>
      </c>
      <c r="L447" s="3">
        <f t="shared" si="652"/>
        <v>3</v>
      </c>
      <c r="M447" s="47">
        <f t="shared" si="653"/>
        <v>0.41263724862728157</v>
      </c>
      <c r="N447" s="47">
        <f t="shared" si="654"/>
        <v>280.97215211367944</v>
      </c>
      <c r="O447" s="1">
        <f t="shared" si="655"/>
        <v>0.99738228948546204</v>
      </c>
      <c r="P447" s="1">
        <f t="shared" si="656"/>
        <v>7.2703082670798294</v>
      </c>
      <c r="Q447" s="1">
        <f t="shared" si="657"/>
        <v>74.728892074748885</v>
      </c>
      <c r="R447" s="1">
        <f t="shared" si="658"/>
        <v>74.585627678515806</v>
      </c>
      <c r="S447" s="47">
        <f t="shared" si="659"/>
        <v>155.9249584568814</v>
      </c>
      <c r="T447" s="1">
        <f t="shared" si="660"/>
        <v>65.973924874391301</v>
      </c>
      <c r="U447" s="47">
        <f t="shared" si="661"/>
        <v>65.853578447853039</v>
      </c>
      <c r="V447" s="47">
        <f t="shared" si="662"/>
        <v>130.98168178424871</v>
      </c>
      <c r="W447" s="2">
        <f t="shared" si="614"/>
        <v>998.72374903505431</v>
      </c>
      <c r="X447" s="1">
        <f t="shared" si="663"/>
        <v>97.743895734172668</v>
      </c>
      <c r="Y447" s="1">
        <f t="shared" si="664"/>
        <v>15.756884650557966</v>
      </c>
      <c r="Z447" s="2">
        <f t="shared" si="665"/>
        <v>3.9088760799212765</v>
      </c>
      <c r="AA447" s="3">
        <f t="shared" si="666"/>
        <v>1000</v>
      </c>
      <c r="AB447" s="1">
        <f t="shared" si="583"/>
        <v>1.2778818629062272E-3</v>
      </c>
      <c r="AC447" s="1">
        <f t="shared" si="670"/>
        <v>0</v>
      </c>
      <c r="AD447" s="64">
        <f t="shared" si="584"/>
        <v>0</v>
      </c>
      <c r="AE447" s="1">
        <f t="shared" si="669"/>
        <v>17.272446692059297</v>
      </c>
    </row>
    <row r="448" spans="1:31" ht="13.5" customHeight="1">
      <c r="A448" s="1">
        <v>9</v>
      </c>
      <c r="B448" s="3">
        <f t="shared" si="643"/>
        <v>1000</v>
      </c>
      <c r="C448" s="1">
        <f t="shared" si="644"/>
        <v>2.6239720368155077E-2</v>
      </c>
      <c r="D448" s="1">
        <f t="shared" si="613"/>
        <v>0.83432101818370785</v>
      </c>
      <c r="E448" s="1">
        <f t="shared" si="645"/>
        <v>74.728892074748885</v>
      </c>
      <c r="F448" s="1">
        <f t="shared" si="646"/>
        <v>20</v>
      </c>
      <c r="G448" s="1">
        <f t="shared" si="647"/>
        <v>999.29235820272368</v>
      </c>
      <c r="H448" s="1">
        <f t="shared" si="648"/>
        <v>65.661464959870756</v>
      </c>
      <c r="I448" s="1">
        <f t="shared" si="649"/>
        <v>228.66097335708238</v>
      </c>
      <c r="J448" s="3">
        <f t="shared" si="650"/>
        <v>30</v>
      </c>
      <c r="K448" s="47">
        <f t="shared" si="651"/>
        <v>0.28537591250608796</v>
      </c>
      <c r="L448" s="3">
        <f t="shared" si="652"/>
        <v>3</v>
      </c>
      <c r="M448" s="47">
        <f t="shared" si="653"/>
        <v>0.40392910475030142</v>
      </c>
      <c r="N448" s="47">
        <f t="shared" si="654"/>
        <v>250.74346330653142</v>
      </c>
      <c r="O448" s="1">
        <f t="shared" si="655"/>
        <v>0.99748818140414208</v>
      </c>
      <c r="P448" s="1">
        <f t="shared" si="656"/>
        <v>7.4270458967162636</v>
      </c>
      <c r="Q448" s="1">
        <f t="shared" si="657"/>
        <v>74.866707290414439</v>
      </c>
      <c r="R448" s="1">
        <f t="shared" si="658"/>
        <v>74.728892074748885</v>
      </c>
      <c r="S448" s="47">
        <f t="shared" si="659"/>
        <v>165.18240029668189</v>
      </c>
      <c r="T448" s="1">
        <f t="shared" si="660"/>
        <v>65.835914013040238</v>
      </c>
      <c r="U448" s="47">
        <f t="shared" si="661"/>
        <v>65.720782511864144</v>
      </c>
      <c r="V448" s="47">
        <f t="shared" si="662"/>
        <v>137.99418026656494</v>
      </c>
      <c r="W448" s="2">
        <f t="shared" si="614"/>
        <v>999.30235820272367</v>
      </c>
      <c r="X448" s="1">
        <f t="shared" si="663"/>
        <v>94.462993325358283</v>
      </c>
      <c r="Y448" s="1">
        <f t="shared" si="664"/>
        <v>16.318828954785324</v>
      </c>
      <c r="Z448" s="2">
        <f t="shared" si="665"/>
        <v>3.8281019491532811</v>
      </c>
      <c r="AA448" s="3">
        <f t="shared" si="666"/>
        <v>1000</v>
      </c>
      <c r="AB448" s="1">
        <f t="shared" ref="AB448:AB509" si="671">((AA448/W448)-1)*AB$23+AC448+AD448</f>
        <v>6.9812884113584772E-4</v>
      </c>
      <c r="AC448" s="1">
        <f t="shared" si="670"/>
        <v>0</v>
      </c>
      <c r="AD448" s="64">
        <f t="shared" ref="AD448:AD509" si="672">(AC$21-(X448/1000/SQRT(Y448/104))*1000/B448)*AB$21</f>
        <v>0</v>
      </c>
      <c r="AE448" s="1">
        <f t="shared" si="669"/>
        <v>17.272446692059297</v>
      </c>
    </row>
    <row r="449" spans="1:31" ht="13.5" customHeight="1">
      <c r="A449" s="1">
        <v>10</v>
      </c>
      <c r="B449" s="3">
        <f t="shared" si="643"/>
        <v>1000</v>
      </c>
      <c r="C449" s="1">
        <f t="shared" si="644"/>
        <v>2.5412409149538503E-2</v>
      </c>
      <c r="D449" s="1">
        <f t="shared" si="613"/>
        <v>0.82926753988617785</v>
      </c>
      <c r="E449" s="1">
        <f t="shared" si="645"/>
        <v>74.866707290414439</v>
      </c>
      <c r="F449" s="1">
        <f t="shared" si="646"/>
        <v>20</v>
      </c>
      <c r="G449" s="1">
        <f t="shared" si="647"/>
        <v>999.81609869921783</v>
      </c>
      <c r="H449" s="1">
        <f t="shared" si="648"/>
        <v>65.499179376377</v>
      </c>
      <c r="I449" s="1">
        <f t="shared" si="649"/>
        <v>236.1051234730715</v>
      </c>
      <c r="J449" s="3">
        <f t="shared" si="650"/>
        <v>31.622776601683793</v>
      </c>
      <c r="K449" s="47">
        <f t="shared" si="651"/>
        <v>0.31078832165562648</v>
      </c>
      <c r="L449" s="3">
        <f t="shared" si="652"/>
        <v>3</v>
      </c>
      <c r="M449" s="47">
        <f t="shared" si="653"/>
        <v>0.3959086900071675</v>
      </c>
      <c r="N449" s="47">
        <f t="shared" si="654"/>
        <v>226.06540533045521</v>
      </c>
      <c r="O449" s="1">
        <f t="shared" si="655"/>
        <v>0.9975764961893534</v>
      </c>
      <c r="P449" s="1">
        <f t="shared" si="656"/>
        <v>7.5775048028010907</v>
      </c>
      <c r="Q449" s="1">
        <f t="shared" si="657"/>
        <v>75</v>
      </c>
      <c r="R449" s="1">
        <f t="shared" si="658"/>
        <v>74.866707290414439</v>
      </c>
      <c r="S449" s="47">
        <f t="shared" si="659"/>
        <v>173.98843350431736</v>
      </c>
      <c r="T449" s="1">
        <f t="shared" si="660"/>
        <v>65.702662559615547</v>
      </c>
      <c r="U449" s="47">
        <f t="shared" si="661"/>
        <v>65.591901982745625</v>
      </c>
      <c r="V449" s="47">
        <f t="shared" si="662"/>
        <v>144.57699392225317</v>
      </c>
      <c r="W449" s="2">
        <f t="shared" si="614"/>
        <v>999.82609869921782</v>
      </c>
      <c r="X449" s="1">
        <f t="shared" si="663"/>
        <v>91.484672938338619</v>
      </c>
      <c r="Y449" s="1">
        <f t="shared" si="664"/>
        <v>16.820315881398386</v>
      </c>
      <c r="Z449" s="2">
        <f t="shared" si="665"/>
        <v>3.7543525577927812</v>
      </c>
      <c r="AA449" s="3">
        <f t="shared" si="666"/>
        <v>1000</v>
      </c>
      <c r="AB449" s="1">
        <f t="shared" si="671"/>
        <v>1.7393154770450892E-4</v>
      </c>
      <c r="AC449" s="1">
        <f t="shared" si="670"/>
        <v>0</v>
      </c>
      <c r="AD449" s="64">
        <f t="shared" si="672"/>
        <v>0</v>
      </c>
      <c r="AE449" s="1">
        <f t="shared" si="669"/>
        <v>17.272446692059297</v>
      </c>
    </row>
    <row r="450" spans="1:31" ht="13.5" customHeight="1">
      <c r="K450" s="47"/>
      <c r="L450" s="47"/>
      <c r="M450" s="47"/>
      <c r="N450" s="47">
        <f>SUM(N440:N449)</f>
        <v>5636.2233460296475</v>
      </c>
      <c r="O450" s="2" t="s">
        <v>46</v>
      </c>
      <c r="P450" s="2"/>
      <c r="Q450" s="2"/>
      <c r="R450" s="49">
        <f>R430</f>
        <v>75</v>
      </c>
      <c r="S450" s="50" t="s">
        <v>45</v>
      </c>
      <c r="T450" s="2"/>
      <c r="U450" s="11">
        <f>U449</f>
        <v>65.591901982745625</v>
      </c>
      <c r="V450" s="47"/>
      <c r="W450" s="2"/>
      <c r="Y450" s="1">
        <f>N451</f>
        <v>17.272446692059297</v>
      </c>
      <c r="AE450" s="1">
        <f t="shared" si="669"/>
        <v>17.272446692059297</v>
      </c>
    </row>
    <row r="451" spans="1:31" ht="13.5" customHeight="1">
      <c r="K451" s="47"/>
      <c r="L451" s="2" t="s">
        <v>44</v>
      </c>
      <c r="M451" s="2"/>
      <c r="N451" s="47">
        <f>N450*2/1000+Y451</f>
        <v>17.272446692059297</v>
      </c>
      <c r="O451" s="2" t="s">
        <v>1</v>
      </c>
      <c r="P451" s="1">
        <f>SUM(P440:P449)</f>
        <v>67.766469440801529</v>
      </c>
      <c r="Q451" s="1" t="s">
        <v>43</v>
      </c>
      <c r="S451" s="47"/>
      <c r="U451" s="47"/>
      <c r="V451" s="47"/>
      <c r="W451" s="2"/>
      <c r="Y451" s="3">
        <f>Y431</f>
        <v>6</v>
      </c>
      <c r="Z451" s="3" t="s">
        <v>42</v>
      </c>
      <c r="AE451" s="1">
        <f>N451</f>
        <v>17.272446692059297</v>
      </c>
    </row>
    <row r="452" spans="1:31" ht="13.5" customHeight="1">
      <c r="L452" s="60" t="s">
        <v>41</v>
      </c>
      <c r="N452" s="3">
        <f>N432</f>
        <v>15</v>
      </c>
      <c r="O452" s="1" t="s">
        <v>1</v>
      </c>
    </row>
    <row r="455" spans="1:31" ht="13.5" customHeight="1" thickBot="1"/>
    <row r="456" spans="1:31" ht="13.5" customHeight="1">
      <c r="B456" s="14" t="s">
        <v>40</v>
      </c>
      <c r="C456" s="15"/>
      <c r="D456" s="15"/>
      <c r="E456" s="15"/>
      <c r="F456" s="15"/>
      <c r="G456" s="15"/>
      <c r="H456" s="15" t="s">
        <v>39</v>
      </c>
      <c r="I456" s="16"/>
      <c r="J456" s="14" t="s">
        <v>38</v>
      </c>
      <c r="K456" s="15"/>
      <c r="L456" s="15"/>
      <c r="M456" s="15"/>
      <c r="N456" s="15" t="s">
        <v>37</v>
      </c>
      <c r="O456" s="15"/>
      <c r="P456" s="15"/>
      <c r="Q456" s="15"/>
      <c r="R456" s="15"/>
      <c r="S456" s="16"/>
      <c r="T456" s="14" t="s">
        <v>36</v>
      </c>
      <c r="U456" s="15"/>
      <c r="V456" s="16"/>
      <c r="W456" s="14"/>
      <c r="X456" s="15"/>
      <c r="Y456" s="15"/>
      <c r="Z456" s="16"/>
    </row>
    <row r="457" spans="1:31" ht="13.5" customHeight="1">
      <c r="B457" s="17" t="s">
        <v>35</v>
      </c>
      <c r="C457" s="18" t="s">
        <v>22</v>
      </c>
      <c r="D457" s="18"/>
      <c r="E457" s="18" t="s">
        <v>34</v>
      </c>
      <c r="F457" s="18" t="s">
        <v>33</v>
      </c>
      <c r="G457" s="18" t="s">
        <v>7</v>
      </c>
      <c r="H457" s="18" t="s">
        <v>32</v>
      </c>
      <c r="I457" s="19" t="s">
        <v>22</v>
      </c>
      <c r="J457" s="17" t="s">
        <v>31</v>
      </c>
      <c r="K457" s="18"/>
      <c r="L457" s="18" t="s">
        <v>30</v>
      </c>
      <c r="M457" s="18"/>
      <c r="N457" s="18" t="s">
        <v>29</v>
      </c>
      <c r="O457" s="18"/>
      <c r="P457" s="18" t="s">
        <v>28</v>
      </c>
      <c r="Q457" s="20" t="s">
        <v>27</v>
      </c>
      <c r="R457" s="21" t="s">
        <v>26</v>
      </c>
      <c r="S457" s="22" t="s">
        <v>7</v>
      </c>
      <c r="T457" s="23" t="s">
        <v>25</v>
      </c>
      <c r="U457" s="24" t="s">
        <v>24</v>
      </c>
      <c r="V457" s="25" t="s">
        <v>7</v>
      </c>
      <c r="W457" s="26" t="s">
        <v>23</v>
      </c>
      <c r="X457" s="4" t="s">
        <v>22</v>
      </c>
      <c r="Y457" s="4" t="s">
        <v>21</v>
      </c>
      <c r="Z457" s="5" t="s">
        <v>20</v>
      </c>
    </row>
    <row r="458" spans="1:31" ht="13.5" customHeight="1">
      <c r="B458" s="54" t="s">
        <v>3</v>
      </c>
      <c r="C458" s="28" t="s">
        <v>17</v>
      </c>
      <c r="D458" s="20" t="s">
        <v>13</v>
      </c>
      <c r="E458" s="20" t="s">
        <v>19</v>
      </c>
      <c r="F458" s="28" t="s">
        <v>19</v>
      </c>
      <c r="G458" s="20" t="s">
        <v>3</v>
      </c>
      <c r="H458" s="20" t="s">
        <v>19</v>
      </c>
      <c r="I458" s="29" t="s">
        <v>12</v>
      </c>
      <c r="J458" s="55" t="s">
        <v>18</v>
      </c>
      <c r="K458" s="20" t="s">
        <v>17</v>
      </c>
      <c r="L458" s="56" t="s">
        <v>16</v>
      </c>
      <c r="M458" s="20" t="s">
        <v>15</v>
      </c>
      <c r="N458" s="20" t="s">
        <v>14</v>
      </c>
      <c r="O458" s="20" t="s">
        <v>13</v>
      </c>
      <c r="P458" s="20" t="s">
        <v>12</v>
      </c>
      <c r="Q458" s="20" t="s">
        <v>11</v>
      </c>
      <c r="R458" s="21" t="s">
        <v>11</v>
      </c>
      <c r="S458" s="22" t="s">
        <v>10</v>
      </c>
      <c r="T458" s="23" t="s">
        <v>9</v>
      </c>
      <c r="U458" s="24" t="s">
        <v>9</v>
      </c>
      <c r="V458" s="33" t="s">
        <v>8</v>
      </c>
      <c r="W458" s="34" t="s">
        <v>7</v>
      </c>
      <c r="X458" s="4" t="s">
        <v>6</v>
      </c>
      <c r="Y458" s="6" t="s">
        <v>5</v>
      </c>
      <c r="Z458" s="7" t="s">
        <v>5</v>
      </c>
    </row>
    <row r="459" spans="1:31" ht="13.5" customHeight="1" thickBot="1">
      <c r="B459" s="57"/>
      <c r="C459" s="3">
        <f>C439</f>
        <v>1.05</v>
      </c>
      <c r="D459" s="37"/>
      <c r="E459" s="38"/>
      <c r="F459" s="38"/>
      <c r="G459" s="37"/>
      <c r="H459" s="37"/>
      <c r="I459" s="39"/>
      <c r="J459" s="58" t="s">
        <v>4</v>
      </c>
      <c r="K459" s="44"/>
      <c r="L459" s="59"/>
      <c r="M459" s="37"/>
      <c r="N459" s="37"/>
      <c r="O459" s="37"/>
      <c r="P459" s="37"/>
      <c r="Q459" s="42"/>
      <c r="R459" s="42"/>
      <c r="S459" s="52" t="s">
        <v>3</v>
      </c>
      <c r="T459" s="43"/>
      <c r="U459" s="44"/>
      <c r="V459" s="39" t="s">
        <v>3</v>
      </c>
      <c r="W459" s="45" t="s">
        <v>3</v>
      </c>
      <c r="X459" s="8" t="s">
        <v>2</v>
      </c>
      <c r="Y459" s="9" t="s">
        <v>1</v>
      </c>
      <c r="Z459" s="13" t="s">
        <v>0</v>
      </c>
    </row>
    <row r="460" spans="1:31" ht="13.5" customHeight="1">
      <c r="A460" s="1">
        <v>1</v>
      </c>
      <c r="B460" s="3">
        <f t="shared" ref="B460:B469" si="673">B440</f>
        <v>1000</v>
      </c>
      <c r="C460" s="1">
        <f t="shared" ref="C460:C469" si="674">IF(B460&lt;1,0.000001,C440*(1+AB440))</f>
        <v>4.1277769229296948E-2</v>
      </c>
      <c r="D460" s="1">
        <f t="shared" si="613"/>
        <v>0.89237551506071644</v>
      </c>
      <c r="E460" s="1">
        <f t="shared" ref="E460:E469" si="675">R460</f>
        <v>73.125336169222464</v>
      </c>
      <c r="F460" s="1">
        <f t="shared" ref="F460:F469" si="676">F440</f>
        <v>20</v>
      </c>
      <c r="G460" s="1">
        <f t="shared" ref="G460:G469" si="677">(E460-F460)*C460*(1-D460)*4200</f>
        <v>991.23878430541777</v>
      </c>
      <c r="H460" s="1">
        <f t="shared" ref="H460:H469" si="678">(E460-F460)*D460+F460</f>
        <v>67.407749226783608</v>
      </c>
      <c r="I460" s="1">
        <f t="shared" ref="I460:I469" si="679">B460*0.001*6/C460</f>
        <v>145.35669228320344</v>
      </c>
      <c r="J460" s="3">
        <f t="shared" ref="J460:J469" si="680">J440</f>
        <v>10</v>
      </c>
      <c r="K460" s="47">
        <f t="shared" ref="K460:K469" si="681">K459+C460</f>
        <v>4.1277769229296948E-2</v>
      </c>
      <c r="L460" s="3">
        <f t="shared" ref="L460:L469" si="682">L440</f>
        <v>3</v>
      </c>
      <c r="M460" s="47">
        <f t="shared" ref="M460:M469" si="683">K460/(J460*J460*3.14/4000)</f>
        <v>0.52583145515027963</v>
      </c>
      <c r="N460" s="47">
        <f t="shared" ref="N460:N469" si="684">L460*26400/J460^1.27*M460^1.83*$N$69</f>
        <v>1639.7755366400643</v>
      </c>
      <c r="O460" s="1">
        <f t="shared" ref="O460:O469" si="685">EXP(-(J460+2)*3.14/1000*$O$66/(M460*J460*J460*3.14/4000*4200)*L460)</f>
        <v>0.99350092502769149</v>
      </c>
      <c r="P460" s="1">
        <f t="shared" ref="P460:P469" si="686">L460/M460</f>
        <v>5.7052501721157345</v>
      </c>
      <c r="Q460" s="1">
        <f t="shared" ref="Q460:Q469" si="687">R461</f>
        <v>73.47286029727826</v>
      </c>
      <c r="R460" s="1">
        <f t="shared" ref="R460:R469" si="688">(Q460-F460)*O460+F460</f>
        <v>73.125336169222464</v>
      </c>
      <c r="S460" s="47">
        <f t="shared" ref="S460:S469" si="689">K460*(1-O460)*4200*(Q460-F460)</f>
        <v>60.249087189898113</v>
      </c>
      <c r="T460" s="1">
        <f t="shared" ref="T460:T469" si="690">(U459*K459+H460*C460)/K460</f>
        <v>67.407749226783608</v>
      </c>
      <c r="U460" s="47">
        <f t="shared" ref="U460:U469" si="691">(T460-F460)*O460+F460</f>
        <v>67.09964271029034</v>
      </c>
      <c r="V460" s="47">
        <f t="shared" ref="V460:V469" si="692">K460*(1-O460)*4200*(T460-F460)</f>
        <v>53.415388680576967</v>
      </c>
      <c r="W460" s="2">
        <f t="shared" si="614"/>
        <v>991.24878430541776</v>
      </c>
      <c r="X460" s="1">
        <f t="shared" ref="X460:X469" si="693">C460*3600</f>
        <v>148.59996922546901</v>
      </c>
      <c r="Y460" s="1">
        <f t="shared" ref="Y460:Y469" si="694">Y461-2*N460/1000</f>
        <v>6</v>
      </c>
      <c r="Z460" s="2">
        <f t="shared" ref="Z460:Z469" si="695">-1.1-1.8*LOG10(Y460/X460/X460)</f>
        <v>5.3185951394507835</v>
      </c>
      <c r="AA460" s="3">
        <f t="shared" ref="AA460:AA469" si="696">AA440</f>
        <v>1000</v>
      </c>
      <c r="AB460" s="1">
        <f t="shared" ref="AB460" si="697">((AA460/W460)-1)*AB$23+AC460+AD460</f>
        <v>8.8284755887133581E-3</v>
      </c>
      <c r="AC460" s="1">
        <f>((N472/N471)-1)*AB$24</f>
        <v>0</v>
      </c>
      <c r="AD460" s="64">
        <f t="shared" ref="AD460" si="698">(AC$21-(X460/1000/SQRT(Y460/104))*1000/B460)*AB$21</f>
        <v>0</v>
      </c>
      <c r="AE460" s="1">
        <f t="shared" ref="AE460:AE470" si="699">AE461</f>
        <v>17.4287778184849</v>
      </c>
    </row>
    <row r="461" spans="1:31" ht="13.5" customHeight="1">
      <c r="A461" s="1">
        <v>2</v>
      </c>
      <c r="B461" s="3">
        <f t="shared" si="673"/>
        <v>1000</v>
      </c>
      <c r="C461" s="1">
        <f t="shared" si="674"/>
        <v>3.6955827430019364E-2</v>
      </c>
      <c r="D461" s="1">
        <f t="shared" si="613"/>
        <v>0.88029834168248178</v>
      </c>
      <c r="E461" s="1">
        <f t="shared" si="675"/>
        <v>73.47286029727826</v>
      </c>
      <c r="F461" s="1">
        <f t="shared" si="676"/>
        <v>20</v>
      </c>
      <c r="G461" s="1">
        <f t="shared" si="677"/>
        <v>993.49526891321148</v>
      </c>
      <c r="H461" s="1">
        <f t="shared" si="678"/>
        <v>67.072070244713075</v>
      </c>
      <c r="I461" s="1">
        <f t="shared" si="679"/>
        <v>162.35599138895688</v>
      </c>
      <c r="J461" s="3">
        <f t="shared" si="680"/>
        <v>14.142135623730951</v>
      </c>
      <c r="K461" s="47">
        <f t="shared" si="681"/>
        <v>7.8233596659316312E-2</v>
      </c>
      <c r="L461" s="3">
        <f t="shared" si="682"/>
        <v>3</v>
      </c>
      <c r="M461" s="47">
        <f t="shared" si="683"/>
        <v>0.49830316343513564</v>
      </c>
      <c r="N461" s="47">
        <f t="shared" si="684"/>
        <v>956.96161136585852</v>
      </c>
      <c r="O461" s="1">
        <f t="shared" si="685"/>
        <v>0.99538294770803837</v>
      </c>
      <c r="P461" s="1">
        <f t="shared" si="686"/>
        <v>6.0204313761907544</v>
      </c>
      <c r="Q461" s="1">
        <f t="shared" si="687"/>
        <v>73.720892466969104</v>
      </c>
      <c r="R461" s="1">
        <f t="shared" si="688"/>
        <v>73.47286029727826</v>
      </c>
      <c r="S461" s="47">
        <f t="shared" si="689"/>
        <v>81.498684632940112</v>
      </c>
      <c r="T461" s="1">
        <f t="shared" si="690"/>
        <v>67.086618085024412</v>
      </c>
      <c r="U461" s="47">
        <f t="shared" si="691"/>
        <v>66.86921670707423</v>
      </c>
      <c r="V461" s="47">
        <f t="shared" si="692"/>
        <v>71.433985206083975</v>
      </c>
      <c r="W461" s="2">
        <f t="shared" si="614"/>
        <v>993.50526891321147</v>
      </c>
      <c r="X461" s="1">
        <f t="shared" si="693"/>
        <v>133.0409787480697</v>
      </c>
      <c r="Y461" s="1">
        <f t="shared" si="694"/>
        <v>9.2795510732801283</v>
      </c>
      <c r="Z461" s="2">
        <f t="shared" si="695"/>
        <v>4.8047990128542644</v>
      </c>
      <c r="AA461" s="3">
        <f t="shared" si="696"/>
        <v>1000</v>
      </c>
      <c r="AB461" s="1">
        <f t="shared" si="671"/>
        <v>6.5371883672977749E-3</v>
      </c>
      <c r="AC461" s="1">
        <f t="shared" ref="AC461:AC469" si="700">AC460</f>
        <v>0</v>
      </c>
      <c r="AD461" s="64">
        <f t="shared" si="672"/>
        <v>0</v>
      </c>
      <c r="AE461" s="1">
        <f t="shared" si="699"/>
        <v>17.4287778184849</v>
      </c>
    </row>
    <row r="462" spans="1:31" ht="13.5" customHeight="1">
      <c r="A462" s="1">
        <v>3</v>
      </c>
      <c r="B462" s="3">
        <f t="shared" si="673"/>
        <v>1000</v>
      </c>
      <c r="C462" s="1">
        <f t="shared" si="674"/>
        <v>3.4309222719696546E-2</v>
      </c>
      <c r="D462" s="1">
        <f t="shared" si="613"/>
        <v>0.87147583904592241</v>
      </c>
      <c r="E462" s="1">
        <f t="shared" si="675"/>
        <v>73.720892466969104</v>
      </c>
      <c r="F462" s="1">
        <f t="shared" si="676"/>
        <v>20</v>
      </c>
      <c r="G462" s="1">
        <f t="shared" si="677"/>
        <v>994.92001079749093</v>
      </c>
      <c r="H462" s="1">
        <f t="shared" si="678"/>
        <v>66.816459836947672</v>
      </c>
      <c r="I462" s="1">
        <f t="shared" si="679"/>
        <v>174.88009125183316</v>
      </c>
      <c r="J462" s="3">
        <f t="shared" si="680"/>
        <v>17.320508075688775</v>
      </c>
      <c r="K462" s="47">
        <f t="shared" si="681"/>
        <v>0.11254281937901287</v>
      </c>
      <c r="L462" s="3">
        <f t="shared" si="682"/>
        <v>3</v>
      </c>
      <c r="M462" s="47">
        <f t="shared" si="683"/>
        <v>0.477888829634874</v>
      </c>
      <c r="N462" s="47">
        <f t="shared" si="684"/>
        <v>685.22214005209685</v>
      </c>
      <c r="O462" s="1">
        <f t="shared" si="685"/>
        <v>0.99615703405536715</v>
      </c>
      <c r="P462" s="1">
        <f t="shared" si="686"/>
        <v>6.2776106365409685</v>
      </c>
      <c r="Q462" s="1">
        <f t="shared" si="687"/>
        <v>73.92813645883794</v>
      </c>
      <c r="R462" s="1">
        <f t="shared" si="688"/>
        <v>73.720892466969104</v>
      </c>
      <c r="S462" s="47">
        <f t="shared" si="689"/>
        <v>97.960057205971964</v>
      </c>
      <c r="T462" s="1">
        <f t="shared" si="690"/>
        <v>66.853133520095668</v>
      </c>
      <c r="U462" s="47">
        <f t="shared" si="691"/>
        <v>66.673078523578596</v>
      </c>
      <c r="V462" s="47">
        <f t="shared" si="692"/>
        <v>85.108367195496356</v>
      </c>
      <c r="W462" s="2">
        <f t="shared" si="614"/>
        <v>994.93001079749092</v>
      </c>
      <c r="X462" s="1">
        <f t="shared" si="693"/>
        <v>123.51320179090756</v>
      </c>
      <c r="Y462" s="1">
        <f t="shared" si="694"/>
        <v>11.193474296011845</v>
      </c>
      <c r="Z462" s="2">
        <f t="shared" si="695"/>
        <v>4.5420313363903002</v>
      </c>
      <c r="AA462" s="3">
        <f t="shared" si="696"/>
        <v>1000</v>
      </c>
      <c r="AB462" s="1">
        <f t="shared" si="671"/>
        <v>5.0958249801362765E-3</v>
      </c>
      <c r="AC462" s="1">
        <f t="shared" si="700"/>
        <v>0</v>
      </c>
      <c r="AD462" s="64">
        <f t="shared" si="672"/>
        <v>0</v>
      </c>
      <c r="AE462" s="1">
        <f t="shared" si="699"/>
        <v>17.4287778184849</v>
      </c>
    </row>
    <row r="463" spans="1:31" ht="13.5" customHeight="1">
      <c r="A463" s="1">
        <v>4</v>
      </c>
      <c r="B463" s="3">
        <f t="shared" si="673"/>
        <v>1000</v>
      </c>
      <c r="C463" s="1">
        <f t="shared" si="674"/>
        <v>3.233377998933757E-2</v>
      </c>
      <c r="D463" s="1">
        <f t="shared" si="613"/>
        <v>0.86399981655834557</v>
      </c>
      <c r="E463" s="1">
        <f t="shared" si="675"/>
        <v>73.92813645883794</v>
      </c>
      <c r="F463" s="1">
        <f t="shared" si="676"/>
        <v>20</v>
      </c>
      <c r="G463" s="1">
        <f t="shared" si="677"/>
        <v>996.00306875424553</v>
      </c>
      <c r="H463" s="1">
        <f t="shared" si="678"/>
        <v>66.593900007769406</v>
      </c>
      <c r="I463" s="1">
        <f t="shared" si="679"/>
        <v>185.56444690285417</v>
      </c>
      <c r="J463" s="3">
        <f t="shared" si="680"/>
        <v>20</v>
      </c>
      <c r="K463" s="47">
        <f t="shared" si="681"/>
        <v>0.14487659936835043</v>
      </c>
      <c r="L463" s="3">
        <f t="shared" si="682"/>
        <v>3</v>
      </c>
      <c r="M463" s="47">
        <f t="shared" si="683"/>
        <v>0.46139044384824979</v>
      </c>
      <c r="N463" s="47">
        <f t="shared" si="684"/>
        <v>535.26966249958139</v>
      </c>
      <c r="O463" s="1">
        <f t="shared" si="685"/>
        <v>0.99659993916317458</v>
      </c>
      <c r="P463" s="1">
        <f t="shared" si="686"/>
        <v>6.5020852512209659</v>
      </c>
      <c r="Q463" s="1">
        <f t="shared" si="687"/>
        <v>74.112120962118809</v>
      </c>
      <c r="R463" s="1">
        <f t="shared" si="688"/>
        <v>73.92813645883794</v>
      </c>
      <c r="S463" s="47">
        <f t="shared" si="689"/>
        <v>111.95120652158583</v>
      </c>
      <c r="T463" s="1">
        <f t="shared" si="690"/>
        <v>66.655407341888676</v>
      </c>
      <c r="U463" s="47">
        <f t="shared" si="691"/>
        <v>66.496776118559382</v>
      </c>
      <c r="V463" s="47">
        <f t="shared" si="692"/>
        <v>96.524199196275134</v>
      </c>
      <c r="W463" s="2">
        <f t="shared" si="614"/>
        <v>996.01306875424552</v>
      </c>
      <c r="X463" s="1">
        <f t="shared" si="693"/>
        <v>116.40160796161526</v>
      </c>
      <c r="Y463" s="1">
        <f t="shared" si="694"/>
        <v>12.563918576116038</v>
      </c>
      <c r="Z463" s="2">
        <f t="shared" si="695"/>
        <v>4.359027123070236</v>
      </c>
      <c r="AA463" s="3">
        <f t="shared" si="696"/>
        <v>1000</v>
      </c>
      <c r="AB463" s="1">
        <f t="shared" si="671"/>
        <v>4.0028904949420685E-3</v>
      </c>
      <c r="AC463" s="1">
        <f t="shared" si="700"/>
        <v>0</v>
      </c>
      <c r="AD463" s="64">
        <f t="shared" si="672"/>
        <v>0</v>
      </c>
      <c r="AE463" s="1">
        <f t="shared" si="699"/>
        <v>17.4287778184849</v>
      </c>
    </row>
    <row r="464" spans="1:31" ht="13.5" customHeight="1">
      <c r="A464" s="1">
        <v>5</v>
      </c>
      <c r="B464" s="3">
        <f t="shared" si="673"/>
        <v>1000</v>
      </c>
      <c r="C464" s="1">
        <f t="shared" si="674"/>
        <v>3.073719976689375E-2</v>
      </c>
      <c r="D464" s="1">
        <f t="shared" si="613"/>
        <v>0.85729532671802811</v>
      </c>
      <c r="E464" s="1">
        <f t="shared" si="675"/>
        <v>74.112120962118809</v>
      </c>
      <c r="F464" s="1">
        <f t="shared" si="676"/>
        <v>20</v>
      </c>
      <c r="G464" s="1">
        <f t="shared" si="677"/>
        <v>996.88794075813132</v>
      </c>
      <c r="H464" s="1">
        <f t="shared" si="678"/>
        <v>66.390068419625095</v>
      </c>
      <c r="I464" s="1">
        <f t="shared" si="679"/>
        <v>195.2032080183975</v>
      </c>
      <c r="J464" s="3">
        <f t="shared" si="680"/>
        <v>22.360679774997898</v>
      </c>
      <c r="K464" s="47">
        <f t="shared" si="681"/>
        <v>0.17561379913524416</v>
      </c>
      <c r="L464" s="3">
        <f t="shared" si="682"/>
        <v>3</v>
      </c>
      <c r="M464" s="47">
        <f t="shared" si="683"/>
        <v>0.44742369206431626</v>
      </c>
      <c r="N464" s="47">
        <f t="shared" si="684"/>
        <v>439.14199461613583</v>
      </c>
      <c r="O464" s="1">
        <f t="shared" si="685"/>
        <v>0.99689360300949648</v>
      </c>
      <c r="P464" s="1">
        <f t="shared" si="686"/>
        <v>6.7050539638583917</v>
      </c>
      <c r="Q464" s="1">
        <f t="shared" si="687"/>
        <v>74.280738484790263</v>
      </c>
      <c r="R464" s="1">
        <f t="shared" si="688"/>
        <v>74.112120962118809</v>
      </c>
      <c r="S464" s="47">
        <f t="shared" si="689"/>
        <v>124.3685677798556</v>
      </c>
      <c r="T464" s="1">
        <f t="shared" si="690"/>
        <v>66.478099363800013</v>
      </c>
      <c r="U464" s="47">
        <f t="shared" si="691"/>
        <v>66.333719935811985</v>
      </c>
      <c r="V464" s="47">
        <f t="shared" si="692"/>
        <v>106.49108343699722</v>
      </c>
      <c r="W464" s="2">
        <f t="shared" si="614"/>
        <v>996.89794075813131</v>
      </c>
      <c r="X464" s="1">
        <f t="shared" si="693"/>
        <v>110.65391916081749</v>
      </c>
      <c r="Y464" s="1">
        <f t="shared" si="694"/>
        <v>13.634457901115201</v>
      </c>
      <c r="Z464" s="2">
        <f t="shared" si="695"/>
        <v>4.2159323061057101</v>
      </c>
      <c r="AA464" s="3">
        <f t="shared" si="696"/>
        <v>1000</v>
      </c>
      <c r="AB464" s="1">
        <f t="shared" si="671"/>
        <v>3.1117119567019014E-3</v>
      </c>
      <c r="AC464" s="1">
        <f t="shared" si="700"/>
        <v>0</v>
      </c>
      <c r="AD464" s="64">
        <f t="shared" si="672"/>
        <v>0</v>
      </c>
      <c r="AE464" s="1">
        <f t="shared" si="699"/>
        <v>17.4287778184849</v>
      </c>
    </row>
    <row r="465" spans="1:31" ht="13.5" customHeight="1">
      <c r="A465" s="1">
        <v>6</v>
      </c>
      <c r="B465" s="3">
        <f t="shared" si="673"/>
        <v>1000</v>
      </c>
      <c r="C465" s="1">
        <f t="shared" si="674"/>
        <v>2.9389491177472866E-2</v>
      </c>
      <c r="D465" s="1">
        <f t="shared" si="613"/>
        <v>0.85110286777394351</v>
      </c>
      <c r="E465" s="1">
        <f t="shared" si="675"/>
        <v>74.280738484790263</v>
      </c>
      <c r="F465" s="1">
        <f t="shared" si="676"/>
        <v>20</v>
      </c>
      <c r="G465" s="1">
        <f t="shared" si="677"/>
        <v>997.63904602192156</v>
      </c>
      <c r="H465" s="1">
        <f t="shared" si="678"/>
        <v>66.198492189292452</v>
      </c>
      <c r="I465" s="1">
        <f t="shared" si="679"/>
        <v>204.15460627637603</v>
      </c>
      <c r="J465" s="3">
        <f t="shared" si="680"/>
        <v>24.494897427831781</v>
      </c>
      <c r="K465" s="47">
        <f t="shared" si="681"/>
        <v>0.20500329031271702</v>
      </c>
      <c r="L465" s="3">
        <f t="shared" si="682"/>
        <v>3</v>
      </c>
      <c r="M465" s="47">
        <f t="shared" si="683"/>
        <v>0.43525114716075802</v>
      </c>
      <c r="N465" s="47">
        <f t="shared" si="684"/>
        <v>371.88033397226843</v>
      </c>
      <c r="O465" s="1">
        <f t="shared" si="685"/>
        <v>0.99710549881925681</v>
      </c>
      <c r="P465" s="1">
        <f t="shared" si="686"/>
        <v>6.8925722989351792</v>
      </c>
      <c r="Q465" s="1">
        <f t="shared" si="687"/>
        <v>74.438310238051969</v>
      </c>
      <c r="R465" s="1">
        <f t="shared" si="688"/>
        <v>74.280738484790263</v>
      </c>
      <c r="S465" s="47">
        <f t="shared" si="689"/>
        <v>135.67145709177166</v>
      </c>
      <c r="T465" s="1">
        <f t="shared" si="690"/>
        <v>66.314333541294985</v>
      </c>
      <c r="U465" s="47">
        <f t="shared" si="691"/>
        <v>66.18027664817437</v>
      </c>
      <c r="V465" s="47">
        <f t="shared" si="692"/>
        <v>115.42483755106825</v>
      </c>
      <c r="W465" s="2">
        <f t="shared" si="614"/>
        <v>997.64904602192155</v>
      </c>
      <c r="X465" s="1">
        <f t="shared" si="693"/>
        <v>105.80216823890233</v>
      </c>
      <c r="Y465" s="1">
        <f t="shared" si="694"/>
        <v>14.512741890347472</v>
      </c>
      <c r="Z465" s="2">
        <f t="shared" si="695"/>
        <v>4.0970313960555611</v>
      </c>
      <c r="AA465" s="3">
        <f t="shared" si="696"/>
        <v>1000</v>
      </c>
      <c r="AB465" s="1">
        <f t="shared" si="671"/>
        <v>2.3564939869915591E-3</v>
      </c>
      <c r="AC465" s="1">
        <f t="shared" si="700"/>
        <v>0</v>
      </c>
      <c r="AD465" s="64">
        <f t="shared" si="672"/>
        <v>0</v>
      </c>
      <c r="AE465" s="1">
        <f t="shared" si="699"/>
        <v>17.4287778184849</v>
      </c>
    </row>
    <row r="466" spans="1:31" ht="13.5" customHeight="1">
      <c r="A466" s="1">
        <v>7</v>
      </c>
      <c r="B466" s="3">
        <f t="shared" si="673"/>
        <v>1000</v>
      </c>
      <c r="C466" s="1">
        <f t="shared" si="674"/>
        <v>2.8220070948162868E-2</v>
      </c>
      <c r="D466" s="1">
        <f t="shared" si="613"/>
        <v>0.84528035619644726</v>
      </c>
      <c r="E466" s="1">
        <f t="shared" si="675"/>
        <v>74.438310238051969</v>
      </c>
      <c r="F466" s="1">
        <f t="shared" si="676"/>
        <v>20</v>
      </c>
      <c r="G466" s="1">
        <f t="shared" si="677"/>
        <v>998.29175639338212</v>
      </c>
      <c r="H466" s="1">
        <f t="shared" si="678"/>
        <v>66.015634268753274</v>
      </c>
      <c r="I466" s="1">
        <f t="shared" si="679"/>
        <v>212.61463201213536</v>
      </c>
      <c r="J466" s="3">
        <f t="shared" si="680"/>
        <v>26.457513110645905</v>
      </c>
      <c r="K466" s="47">
        <f t="shared" si="681"/>
        <v>0.23322336126087989</v>
      </c>
      <c r="L466" s="3">
        <f t="shared" si="682"/>
        <v>3</v>
      </c>
      <c r="M466" s="47">
        <f t="shared" si="683"/>
        <v>0.42442831894609628</v>
      </c>
      <c r="N466" s="47">
        <f t="shared" si="684"/>
        <v>322.01782028992062</v>
      </c>
      <c r="O466" s="1">
        <f t="shared" si="685"/>
        <v>0.99726704565683355</v>
      </c>
      <c r="P466" s="1">
        <f t="shared" si="686"/>
        <v>7.0683313673539523</v>
      </c>
      <c r="Q466" s="1">
        <f t="shared" si="687"/>
        <v>74.587495370607655</v>
      </c>
      <c r="R466" s="1">
        <f t="shared" si="688"/>
        <v>74.438310238051969</v>
      </c>
      <c r="S466" s="47">
        <f t="shared" si="689"/>
        <v>146.13252387210017</v>
      </c>
      <c r="T466" s="1">
        <f t="shared" si="690"/>
        <v>66.160354889036611</v>
      </c>
      <c r="U466" s="47">
        <f t="shared" si="691"/>
        <v>66.034200746660517</v>
      </c>
      <c r="V466" s="47">
        <f t="shared" si="692"/>
        <v>123.57279111213541</v>
      </c>
      <c r="W466" s="2">
        <f t="shared" si="614"/>
        <v>998.30175639338211</v>
      </c>
      <c r="X466" s="1">
        <f t="shared" si="693"/>
        <v>101.59225541338633</v>
      </c>
      <c r="Y466" s="1">
        <f t="shared" si="694"/>
        <v>15.256502558292009</v>
      </c>
      <c r="Z466" s="2">
        <f t="shared" si="695"/>
        <v>3.9944791922258349</v>
      </c>
      <c r="AA466" s="3">
        <f t="shared" si="696"/>
        <v>1000</v>
      </c>
      <c r="AB466" s="1">
        <f t="shared" si="671"/>
        <v>1.7011325440849934E-3</v>
      </c>
      <c r="AC466" s="1">
        <f t="shared" si="700"/>
        <v>0</v>
      </c>
      <c r="AD466" s="64">
        <f t="shared" si="672"/>
        <v>0</v>
      </c>
      <c r="AE466" s="1">
        <f t="shared" si="699"/>
        <v>17.4287778184849</v>
      </c>
    </row>
    <row r="467" spans="1:31" ht="13.5" customHeight="1">
      <c r="A467" s="1">
        <v>8</v>
      </c>
      <c r="B467" s="3">
        <f t="shared" si="673"/>
        <v>1000</v>
      </c>
      <c r="C467" s="1">
        <f t="shared" si="674"/>
        <v>2.7185778023816991E-2</v>
      </c>
      <c r="D467" s="1">
        <f t="shared" si="613"/>
        <v>0.83974047098575688</v>
      </c>
      <c r="E467" s="1">
        <f t="shared" si="675"/>
        <v>74.587495370607655</v>
      </c>
      <c r="F467" s="1">
        <f t="shared" si="676"/>
        <v>20</v>
      </c>
      <c r="G467" s="1">
        <f t="shared" si="677"/>
        <v>998.8679698083879</v>
      </c>
      <c r="H467" s="1">
        <f t="shared" si="678"/>
        <v>65.839329072446901</v>
      </c>
      <c r="I467" s="1">
        <f t="shared" si="679"/>
        <v>220.70363389061382</v>
      </c>
      <c r="J467" s="3">
        <f t="shared" si="680"/>
        <v>28.284271247461902</v>
      </c>
      <c r="K467" s="47">
        <f t="shared" si="681"/>
        <v>0.26040913928469689</v>
      </c>
      <c r="L467" s="3">
        <f t="shared" si="682"/>
        <v>3</v>
      </c>
      <c r="M467" s="47">
        <f t="shared" si="683"/>
        <v>0.41466423452977202</v>
      </c>
      <c r="N467" s="47">
        <f t="shared" si="684"/>
        <v>283.50308640188575</v>
      </c>
      <c r="O467" s="1">
        <f t="shared" si="685"/>
        <v>0.99739506884978035</v>
      </c>
      <c r="P467" s="1">
        <f t="shared" si="686"/>
        <v>7.2347691220632777</v>
      </c>
      <c r="Q467" s="1">
        <f t="shared" si="687"/>
        <v>74.730063417657803</v>
      </c>
      <c r="R467" s="1">
        <f t="shared" si="688"/>
        <v>74.587495370607655</v>
      </c>
      <c r="S467" s="47">
        <f t="shared" si="689"/>
        <v>155.92929417168878</v>
      </c>
      <c r="T467" s="1">
        <f t="shared" si="690"/>
        <v>66.013856844396372</v>
      </c>
      <c r="U467" s="47">
        <f t="shared" si="691"/>
        <v>65.893993915360653</v>
      </c>
      <c r="V467" s="47">
        <f t="shared" si="692"/>
        <v>131.09628916580033</v>
      </c>
      <c r="W467" s="2">
        <f t="shared" si="614"/>
        <v>998.87796980838789</v>
      </c>
      <c r="X467" s="1">
        <f t="shared" si="693"/>
        <v>97.868800885741166</v>
      </c>
      <c r="Y467" s="1">
        <f t="shared" si="694"/>
        <v>15.90053819887185</v>
      </c>
      <c r="Z467" s="2">
        <f t="shared" si="695"/>
        <v>3.9037780780421065</v>
      </c>
      <c r="AA467" s="3">
        <f t="shared" si="696"/>
        <v>1000</v>
      </c>
      <c r="AB467" s="1">
        <f t="shared" si="671"/>
        <v>1.1232905575315755E-3</v>
      </c>
      <c r="AC467" s="1">
        <f t="shared" si="700"/>
        <v>0</v>
      </c>
      <c r="AD467" s="64">
        <f t="shared" si="672"/>
        <v>0</v>
      </c>
      <c r="AE467" s="1">
        <f t="shared" si="699"/>
        <v>17.4287778184849</v>
      </c>
    </row>
    <row r="468" spans="1:31" ht="13.5" customHeight="1">
      <c r="A468" s="1">
        <v>9</v>
      </c>
      <c r="B468" s="3">
        <f t="shared" si="673"/>
        <v>1000</v>
      </c>
      <c r="C468" s="1">
        <f t="shared" si="674"/>
        <v>2.6258039073727427E-2</v>
      </c>
      <c r="D468" s="1">
        <f t="shared" ref="D468:D529" si="701">EXP((1+(E468-F468-55)/55*$B$18)*B468/C468/-210000)</f>
        <v>0.83442523231719401</v>
      </c>
      <c r="E468" s="1">
        <f t="shared" si="675"/>
        <v>74.730063417657803</v>
      </c>
      <c r="F468" s="1">
        <f t="shared" si="676"/>
        <v>20</v>
      </c>
      <c r="G468" s="1">
        <f t="shared" si="677"/>
        <v>999.38237588210302</v>
      </c>
      <c r="H468" s="1">
        <f t="shared" si="678"/>
        <v>65.668145882013874</v>
      </c>
      <c r="I468" s="1">
        <f t="shared" si="679"/>
        <v>228.50144990466256</v>
      </c>
      <c r="J468" s="3">
        <f t="shared" si="680"/>
        <v>30</v>
      </c>
      <c r="K468" s="47">
        <f t="shared" si="681"/>
        <v>0.28666717835842431</v>
      </c>
      <c r="L468" s="3">
        <f t="shared" si="682"/>
        <v>3</v>
      </c>
      <c r="M468" s="47">
        <f t="shared" si="683"/>
        <v>0.40575679880881005</v>
      </c>
      <c r="N468" s="47">
        <f t="shared" si="684"/>
        <v>252.82360827411398</v>
      </c>
      <c r="O468" s="1">
        <f t="shared" si="685"/>
        <v>0.99749948150164169</v>
      </c>
      <c r="P468" s="1">
        <f t="shared" si="686"/>
        <v>7.3935914538146292</v>
      </c>
      <c r="Q468" s="1">
        <f t="shared" si="687"/>
        <v>74.867260016282756</v>
      </c>
      <c r="R468" s="1">
        <f t="shared" si="688"/>
        <v>74.730063417657803</v>
      </c>
      <c r="S468" s="47">
        <f t="shared" si="689"/>
        <v>165.18499959438842</v>
      </c>
      <c r="T468" s="1">
        <f t="shared" si="690"/>
        <v>65.873306766876127</v>
      </c>
      <c r="U468" s="47">
        <f t="shared" si="691"/>
        <v>65.758599714724681</v>
      </c>
      <c r="V468" s="47">
        <f t="shared" si="692"/>
        <v>138.10753730787573</v>
      </c>
      <c r="W468" s="2">
        <f t="shared" ref="W468:W529" si="702">G468+(S468+V468)*$AB$22+0.01</f>
        <v>999.39237588210301</v>
      </c>
      <c r="X468" s="1">
        <f t="shared" si="693"/>
        <v>94.528940665418745</v>
      </c>
      <c r="Y468" s="1">
        <f t="shared" si="694"/>
        <v>16.467544371675622</v>
      </c>
      <c r="Z468" s="2">
        <f t="shared" si="695"/>
        <v>3.8221013314923131</v>
      </c>
      <c r="AA468" s="3">
        <f t="shared" si="696"/>
        <v>1000</v>
      </c>
      <c r="AB468" s="1">
        <f t="shared" si="671"/>
        <v>6.0799354944118811E-4</v>
      </c>
      <c r="AC468" s="1">
        <f t="shared" si="700"/>
        <v>0</v>
      </c>
      <c r="AD468" s="64">
        <f t="shared" si="672"/>
        <v>0</v>
      </c>
      <c r="AE468" s="1">
        <f t="shared" si="699"/>
        <v>17.4287778184849</v>
      </c>
    </row>
    <row r="469" spans="1:31" ht="13.5" customHeight="1">
      <c r="A469" s="1">
        <v>10</v>
      </c>
      <c r="B469" s="3">
        <f t="shared" si="673"/>
        <v>1000</v>
      </c>
      <c r="C469" s="1">
        <f t="shared" si="674"/>
        <v>2.5416829169192783E-2</v>
      </c>
      <c r="D469" s="1">
        <f t="shared" si="701"/>
        <v>0.82929394503159015</v>
      </c>
      <c r="E469" s="1">
        <f t="shared" si="675"/>
        <v>74.867260016282756</v>
      </c>
      <c r="F469" s="1">
        <f t="shared" si="676"/>
        <v>20</v>
      </c>
      <c r="G469" s="1">
        <f t="shared" si="677"/>
        <v>999.84541409741178</v>
      </c>
      <c r="H469" s="1">
        <f t="shared" si="678"/>
        <v>65.501086511977149</v>
      </c>
      <c r="I469" s="1">
        <f t="shared" si="679"/>
        <v>236.06406448497819</v>
      </c>
      <c r="J469" s="3">
        <f t="shared" si="680"/>
        <v>31.622776601683793</v>
      </c>
      <c r="K469" s="47">
        <f t="shared" si="681"/>
        <v>0.31208400752761711</v>
      </c>
      <c r="L469" s="3">
        <f t="shared" si="682"/>
        <v>3</v>
      </c>
      <c r="M469" s="47">
        <f t="shared" si="683"/>
        <v>0.39755924525811098</v>
      </c>
      <c r="N469" s="47">
        <f t="shared" si="684"/>
        <v>227.79311513052463</v>
      </c>
      <c r="O469" s="1">
        <f t="shared" si="685"/>
        <v>0.99758654575059547</v>
      </c>
      <c r="P469" s="1">
        <f t="shared" si="686"/>
        <v>7.5460451134831059</v>
      </c>
      <c r="Q469" s="1">
        <f t="shared" si="687"/>
        <v>75</v>
      </c>
      <c r="R469" s="1">
        <f t="shared" si="688"/>
        <v>74.867260016282756</v>
      </c>
      <c r="S469" s="47">
        <f t="shared" si="689"/>
        <v>173.98930952604528</v>
      </c>
      <c r="T469" s="1">
        <f t="shared" si="690"/>
        <v>65.737627255626577</v>
      </c>
      <c r="U469" s="47">
        <f t="shared" si="691"/>
        <v>65.627241584768797</v>
      </c>
      <c r="V469" s="47">
        <f t="shared" si="692"/>
        <v>144.68833064665631</v>
      </c>
      <c r="W469" s="2">
        <f t="shared" si="702"/>
        <v>999.85541409741177</v>
      </c>
      <c r="X469" s="1">
        <f t="shared" si="693"/>
        <v>91.500585009094024</v>
      </c>
      <c r="Y469" s="1">
        <f t="shared" si="694"/>
        <v>16.973191588223852</v>
      </c>
      <c r="Z469" s="2">
        <f t="shared" si="695"/>
        <v>3.7475516104758211</v>
      </c>
      <c r="AA469" s="3">
        <f t="shared" si="696"/>
        <v>1000</v>
      </c>
      <c r="AB469" s="1">
        <f t="shared" si="671"/>
        <v>1.446068106945031E-4</v>
      </c>
      <c r="AC469" s="1">
        <f t="shared" si="700"/>
        <v>0</v>
      </c>
      <c r="AD469" s="64">
        <f t="shared" si="672"/>
        <v>0</v>
      </c>
      <c r="AE469" s="1">
        <f t="shared" si="699"/>
        <v>17.4287778184849</v>
      </c>
    </row>
    <row r="470" spans="1:31" ht="13.5" customHeight="1">
      <c r="K470" s="47"/>
      <c r="L470" s="47"/>
      <c r="M470" s="47"/>
      <c r="N470" s="47">
        <f>SUM(N460:N469)</f>
        <v>5714.3889092424497</v>
      </c>
      <c r="O470" s="2" t="s">
        <v>46</v>
      </c>
      <c r="P470" s="2"/>
      <c r="Q470" s="2"/>
      <c r="R470" s="49">
        <f>R450</f>
        <v>75</v>
      </c>
      <c r="S470" s="50" t="s">
        <v>45</v>
      </c>
      <c r="T470" s="2"/>
      <c r="U470" s="11">
        <f>U469</f>
        <v>65.627241584768797</v>
      </c>
      <c r="V470" s="47"/>
      <c r="W470" s="2"/>
      <c r="Y470" s="1">
        <f>N471</f>
        <v>17.4287778184849</v>
      </c>
      <c r="AE470" s="1">
        <f t="shared" si="699"/>
        <v>17.4287778184849</v>
      </c>
    </row>
    <row r="471" spans="1:31" ht="13.5" customHeight="1">
      <c r="K471" s="47"/>
      <c r="L471" s="2" t="s">
        <v>44</v>
      </c>
      <c r="M471" s="2"/>
      <c r="N471" s="47">
        <f>N470*2/1000+Y471</f>
        <v>17.4287778184849</v>
      </c>
      <c r="O471" s="2" t="s">
        <v>1</v>
      </c>
      <c r="P471" s="1">
        <f>SUM(P460:P469)</f>
        <v>67.345740755576955</v>
      </c>
      <c r="Q471" s="1" t="s">
        <v>43</v>
      </c>
      <c r="S471" s="47"/>
      <c r="U471" s="47"/>
      <c r="V471" s="47"/>
      <c r="W471" s="2"/>
      <c r="Y471" s="3">
        <f>Y451</f>
        <v>6</v>
      </c>
      <c r="Z471" s="3" t="s">
        <v>42</v>
      </c>
      <c r="AE471" s="1">
        <f>N471</f>
        <v>17.4287778184849</v>
      </c>
    </row>
    <row r="472" spans="1:31" ht="13.5" customHeight="1">
      <c r="L472" s="60" t="s">
        <v>41</v>
      </c>
      <c r="N472" s="3">
        <f>N452</f>
        <v>15</v>
      </c>
      <c r="O472" s="1" t="s">
        <v>1</v>
      </c>
    </row>
    <row r="475" spans="1:31" ht="13.5" customHeight="1" thickBot="1"/>
    <row r="476" spans="1:31" ht="13.5" customHeight="1">
      <c r="B476" s="14" t="s">
        <v>40</v>
      </c>
      <c r="C476" s="15"/>
      <c r="D476" s="15"/>
      <c r="E476" s="15"/>
      <c r="F476" s="15"/>
      <c r="G476" s="15"/>
      <c r="H476" s="15" t="s">
        <v>39</v>
      </c>
      <c r="I476" s="16"/>
      <c r="J476" s="14" t="s">
        <v>38</v>
      </c>
      <c r="K476" s="15"/>
      <c r="L476" s="15"/>
      <c r="M476" s="15"/>
      <c r="N476" s="15" t="s">
        <v>37</v>
      </c>
      <c r="O476" s="15"/>
      <c r="P476" s="15"/>
      <c r="Q476" s="15"/>
      <c r="R476" s="15"/>
      <c r="S476" s="16"/>
      <c r="T476" s="14" t="s">
        <v>36</v>
      </c>
      <c r="U476" s="15"/>
      <c r="V476" s="16"/>
      <c r="W476" s="14"/>
      <c r="X476" s="15"/>
      <c r="Y476" s="15"/>
      <c r="Z476" s="16"/>
    </row>
    <row r="477" spans="1:31" ht="13.5" customHeight="1">
      <c r="B477" s="17" t="s">
        <v>35</v>
      </c>
      <c r="C477" s="18" t="s">
        <v>22</v>
      </c>
      <c r="D477" s="18"/>
      <c r="E477" s="18" t="s">
        <v>34</v>
      </c>
      <c r="F477" s="18" t="s">
        <v>33</v>
      </c>
      <c r="G477" s="18" t="s">
        <v>7</v>
      </c>
      <c r="H477" s="18" t="s">
        <v>32</v>
      </c>
      <c r="I477" s="19" t="s">
        <v>22</v>
      </c>
      <c r="J477" s="17" t="s">
        <v>31</v>
      </c>
      <c r="K477" s="18"/>
      <c r="L477" s="18" t="s">
        <v>30</v>
      </c>
      <c r="M477" s="18"/>
      <c r="N477" s="18" t="s">
        <v>29</v>
      </c>
      <c r="O477" s="18"/>
      <c r="P477" s="18" t="s">
        <v>28</v>
      </c>
      <c r="Q477" s="20" t="s">
        <v>27</v>
      </c>
      <c r="R477" s="21" t="s">
        <v>26</v>
      </c>
      <c r="S477" s="22" t="s">
        <v>7</v>
      </c>
      <c r="T477" s="23" t="s">
        <v>25</v>
      </c>
      <c r="U477" s="24" t="s">
        <v>24</v>
      </c>
      <c r="V477" s="25" t="s">
        <v>7</v>
      </c>
      <c r="W477" s="26" t="s">
        <v>23</v>
      </c>
      <c r="X477" s="4" t="s">
        <v>22</v>
      </c>
      <c r="Y477" s="4" t="s">
        <v>21</v>
      </c>
      <c r="Z477" s="5" t="s">
        <v>20</v>
      </c>
    </row>
    <row r="478" spans="1:31" ht="13.5" customHeight="1">
      <c r="B478" s="54" t="s">
        <v>3</v>
      </c>
      <c r="C478" s="28" t="s">
        <v>17</v>
      </c>
      <c r="D478" s="20" t="s">
        <v>13</v>
      </c>
      <c r="E478" s="20" t="s">
        <v>19</v>
      </c>
      <c r="F478" s="28" t="s">
        <v>19</v>
      </c>
      <c r="G478" s="20" t="s">
        <v>3</v>
      </c>
      <c r="H478" s="20" t="s">
        <v>19</v>
      </c>
      <c r="I478" s="29" t="s">
        <v>12</v>
      </c>
      <c r="J478" s="55" t="s">
        <v>18</v>
      </c>
      <c r="K478" s="20" t="s">
        <v>17</v>
      </c>
      <c r="L478" s="56" t="s">
        <v>16</v>
      </c>
      <c r="M478" s="20" t="s">
        <v>15</v>
      </c>
      <c r="N478" s="20" t="s">
        <v>14</v>
      </c>
      <c r="O478" s="20" t="s">
        <v>13</v>
      </c>
      <c r="P478" s="20" t="s">
        <v>12</v>
      </c>
      <c r="Q478" s="20" t="s">
        <v>11</v>
      </c>
      <c r="R478" s="21" t="s">
        <v>11</v>
      </c>
      <c r="S478" s="22" t="s">
        <v>10</v>
      </c>
      <c r="T478" s="23" t="s">
        <v>9</v>
      </c>
      <c r="U478" s="24" t="s">
        <v>9</v>
      </c>
      <c r="V478" s="33" t="s">
        <v>8</v>
      </c>
      <c r="W478" s="34" t="s">
        <v>7</v>
      </c>
      <c r="X478" s="4" t="s">
        <v>6</v>
      </c>
      <c r="Y478" s="6" t="s">
        <v>5</v>
      </c>
      <c r="Z478" s="7" t="s">
        <v>5</v>
      </c>
    </row>
    <row r="479" spans="1:31" ht="13.5" customHeight="1" thickBot="1">
      <c r="B479" s="57"/>
      <c r="C479" s="3">
        <f>C459</f>
        <v>1.05</v>
      </c>
      <c r="D479" s="37"/>
      <c r="E479" s="38"/>
      <c r="F479" s="38"/>
      <c r="G479" s="37"/>
      <c r="H479" s="37"/>
      <c r="I479" s="39"/>
      <c r="J479" s="58" t="s">
        <v>4</v>
      </c>
      <c r="K479" s="44"/>
      <c r="L479" s="59"/>
      <c r="M479" s="37"/>
      <c r="N479" s="37"/>
      <c r="O479" s="37"/>
      <c r="P479" s="37"/>
      <c r="Q479" s="42"/>
      <c r="R479" s="42"/>
      <c r="S479" s="52" t="s">
        <v>3</v>
      </c>
      <c r="T479" s="43"/>
      <c r="U479" s="44"/>
      <c r="V479" s="39" t="s">
        <v>3</v>
      </c>
      <c r="W479" s="45" t="s">
        <v>3</v>
      </c>
      <c r="X479" s="8" t="s">
        <v>2</v>
      </c>
      <c r="Y479" s="9" t="s">
        <v>1</v>
      </c>
      <c r="Z479" s="13" t="s">
        <v>0</v>
      </c>
    </row>
    <row r="480" spans="1:31" ht="13.5" customHeight="1">
      <c r="A480" s="1">
        <v>1</v>
      </c>
      <c r="B480" s="3">
        <f t="shared" ref="B480:B489" si="703">B460</f>
        <v>1000</v>
      </c>
      <c r="C480" s="1">
        <f t="shared" ref="C480:C489" si="704">IF(B480&lt;1,0.000001,C460*(1+AB460))</f>
        <v>4.1642189007294342E-2</v>
      </c>
      <c r="D480" s="1">
        <f t="shared" si="701"/>
        <v>0.89325705643672482</v>
      </c>
      <c r="E480" s="1">
        <f t="shared" ref="E480:E489" si="705">R480</f>
        <v>73.136871850442787</v>
      </c>
      <c r="F480" s="1">
        <f t="shared" ref="F480:F489" si="706">F460</f>
        <v>20</v>
      </c>
      <c r="G480" s="1">
        <f t="shared" ref="G480:G489" si="707">(E480-F480)*C480*(1-D480)*4200</f>
        <v>992.0144546206717</v>
      </c>
      <c r="H480" s="1">
        <f t="shared" ref="H480:H489" si="708">(E480-F480)*D480+F480</f>
        <v>67.464885737381991</v>
      </c>
      <c r="I480" s="1">
        <f t="shared" ref="I480:I489" si="709">B480*0.001*6/C480</f>
        <v>144.0846445163821</v>
      </c>
      <c r="J480" s="3">
        <f t="shared" ref="J480:J489" si="710">J460</f>
        <v>10</v>
      </c>
      <c r="K480" s="47">
        <f t="shared" ref="K480:K489" si="711">K479+C480</f>
        <v>4.1642189007294342E-2</v>
      </c>
      <c r="L480" s="3">
        <f t="shared" ref="L480:L489" si="712">L460</f>
        <v>3</v>
      </c>
      <c r="M480" s="47">
        <f t="shared" ref="M480:M489" si="713">K480/(J480*J480*3.14/4000)</f>
        <v>0.53047374531585145</v>
      </c>
      <c r="N480" s="47">
        <f t="shared" ref="N480:N489" si="714">L480*26400/J480^1.27*M480^1.83*$N$69</f>
        <v>1666.364945983225</v>
      </c>
      <c r="O480" s="1">
        <f t="shared" ref="O480:O489" si="715">EXP(-(J480+2)*3.14/1000*$O$66/(M480*J480*J480*3.14/4000*4200)*L480)</f>
        <v>0.9935576162334836</v>
      </c>
      <c r="P480" s="1">
        <f t="shared" ref="P480:P489" si="716">L480/M480</f>
        <v>5.6553222972679977</v>
      </c>
      <c r="Q480" s="1">
        <f t="shared" ref="Q480:Q489" si="717">R481</f>
        <v>73.48141968040207</v>
      </c>
      <c r="R480" s="1">
        <f t="shared" ref="R480:R489" si="718">(Q480-F480)*O480+F480</f>
        <v>73.136871850442787</v>
      </c>
      <c r="S480" s="47">
        <f t="shared" ref="S480:S489" si="719">K480*(1-O480)*4200*(Q480-F480)</f>
        <v>60.260448600312095</v>
      </c>
      <c r="T480" s="1">
        <f t="shared" ref="T480:T489" si="720">(U479*K479+H480*C480)/K480</f>
        <v>67.464885737381991</v>
      </c>
      <c r="U480" s="47">
        <f t="shared" ref="U480:U489" si="721">(T480-F480)*O480+F480</f>
        <v>67.159098728027928</v>
      </c>
      <c r="V480" s="47">
        <f t="shared" ref="V480:V489" si="722">K480*(1-O480)*4200*(T480-F480)</f>
        <v>53.481289845888604</v>
      </c>
      <c r="W480" s="2">
        <f t="shared" si="702"/>
        <v>992.02445462067169</v>
      </c>
      <c r="X480" s="1">
        <f t="shared" ref="X480:X489" si="723">C480*3600</f>
        <v>149.91188042625964</v>
      </c>
      <c r="Y480" s="1">
        <f t="shared" ref="Y480:Y489" si="724">Y481-2*N480/1000</f>
        <v>5.9999999999999982</v>
      </c>
      <c r="Z480" s="2">
        <f t="shared" ref="Z480:Z489" si="725">-1.1-1.8*LOG10(Y480/X480/X480)</f>
        <v>5.3323375357474418</v>
      </c>
      <c r="AA480" s="3">
        <f t="shared" ref="AA480:AA489" si="726">AA460</f>
        <v>1000</v>
      </c>
      <c r="AB480" s="1">
        <f t="shared" ref="AB480" si="727">((AA480/W480)-1)*AB$23+AC480+AD480</f>
        <v>8.0396661011528092E-3</v>
      </c>
      <c r="AC480" s="1">
        <f>((N492/N491)-1)*AB$24</f>
        <v>0</v>
      </c>
      <c r="AD480" s="64">
        <f t="shared" ref="AD480" si="728">(AC$21-(X480/1000/SQRT(Y480/104))*1000/B480)*AB$21</f>
        <v>0</v>
      </c>
      <c r="AE480" s="1">
        <f t="shared" ref="AE480:AE490" si="729">AE481</f>
        <v>17.572562454759932</v>
      </c>
    </row>
    <row r="481" spans="1:31" ht="13.5" customHeight="1">
      <c r="A481" s="1">
        <v>2</v>
      </c>
      <c r="B481" s="3">
        <f t="shared" si="703"/>
        <v>1000</v>
      </c>
      <c r="C481" s="1">
        <f t="shared" si="704"/>
        <v>3.7197414635198753E-2</v>
      </c>
      <c r="D481" s="1">
        <f t="shared" si="701"/>
        <v>0.88102089754382706</v>
      </c>
      <c r="E481" s="1">
        <f t="shared" si="705"/>
        <v>73.48141968040207</v>
      </c>
      <c r="F481" s="1">
        <f t="shared" si="706"/>
        <v>20</v>
      </c>
      <c r="G481" s="1">
        <f t="shared" si="707"/>
        <v>994.11279103279503</v>
      </c>
      <c r="H481" s="1">
        <f t="shared" si="708"/>
        <v>67.118248368745924</v>
      </c>
      <c r="I481" s="1">
        <f t="shared" si="709"/>
        <v>161.30153288455665</v>
      </c>
      <c r="J481" s="3">
        <f t="shared" si="710"/>
        <v>14.142135623730951</v>
      </c>
      <c r="K481" s="47">
        <f t="shared" si="711"/>
        <v>7.8839603642493095E-2</v>
      </c>
      <c r="L481" s="3">
        <f t="shared" si="712"/>
        <v>3</v>
      </c>
      <c r="M481" s="47">
        <f t="shared" si="713"/>
        <v>0.50216308052543368</v>
      </c>
      <c r="N481" s="47">
        <f t="shared" si="714"/>
        <v>970.57051660792865</v>
      </c>
      <c r="O481" s="1">
        <f t="shared" si="715"/>
        <v>0.99541835562880188</v>
      </c>
      <c r="P481" s="1">
        <f t="shared" si="716"/>
        <v>5.9741548440020278</v>
      </c>
      <c r="Q481" s="1">
        <f t="shared" si="717"/>
        <v>73.727580346474582</v>
      </c>
      <c r="R481" s="1">
        <f t="shared" si="718"/>
        <v>73.48141968040207</v>
      </c>
      <c r="S481" s="47">
        <f t="shared" si="719"/>
        <v>81.510279251224276</v>
      </c>
      <c r="T481" s="1">
        <f t="shared" si="720"/>
        <v>67.139825067557751</v>
      </c>
      <c r="U481" s="47">
        <f t="shared" si="721"/>
        <v>66.923847153377721</v>
      </c>
      <c r="V481" s="47">
        <f t="shared" si="722"/>
        <v>71.515975227844379</v>
      </c>
      <c r="W481" s="2">
        <f t="shared" si="702"/>
        <v>994.12279103279502</v>
      </c>
      <c r="X481" s="1">
        <f t="shared" si="723"/>
        <v>133.91069268671552</v>
      </c>
      <c r="Y481" s="1">
        <f t="shared" si="724"/>
        <v>9.3327298919664479</v>
      </c>
      <c r="Z481" s="2">
        <f t="shared" si="725"/>
        <v>4.8105192695879975</v>
      </c>
      <c r="AA481" s="3">
        <f t="shared" si="726"/>
        <v>1000</v>
      </c>
      <c r="AB481" s="1">
        <f t="shared" si="671"/>
        <v>5.9119547607384693E-3</v>
      </c>
      <c r="AC481" s="1">
        <f t="shared" ref="AC481:AC489" si="730">AC480</f>
        <v>0</v>
      </c>
      <c r="AD481" s="64">
        <f t="shared" si="672"/>
        <v>0</v>
      </c>
      <c r="AE481" s="1">
        <f t="shared" si="729"/>
        <v>17.572562454759932</v>
      </c>
    </row>
    <row r="482" spans="1:31" ht="13.5" customHeight="1">
      <c r="A482" s="1">
        <v>3</v>
      </c>
      <c r="B482" s="3">
        <f t="shared" si="703"/>
        <v>1000</v>
      </c>
      <c r="C482" s="1">
        <f t="shared" si="704"/>
        <v>3.4484056513880632E-2</v>
      </c>
      <c r="D482" s="1">
        <f t="shared" si="701"/>
        <v>0.87207830947177256</v>
      </c>
      <c r="E482" s="1">
        <f t="shared" si="705"/>
        <v>73.727580346474582</v>
      </c>
      <c r="F482" s="1">
        <f t="shared" si="706"/>
        <v>20</v>
      </c>
      <c r="G482" s="1">
        <f t="shared" si="707"/>
        <v>995.42629999268752</v>
      </c>
      <c r="H482" s="1">
        <f t="shared" si="708"/>
        <v>66.854657440562391</v>
      </c>
      <c r="I482" s="1">
        <f t="shared" si="709"/>
        <v>173.99345107745259</v>
      </c>
      <c r="J482" s="3">
        <f t="shared" si="710"/>
        <v>17.320508075688775</v>
      </c>
      <c r="K482" s="47">
        <f t="shared" si="711"/>
        <v>0.11332366015637373</v>
      </c>
      <c r="L482" s="3">
        <f t="shared" si="712"/>
        <v>3</v>
      </c>
      <c r="M482" s="47">
        <f t="shared" si="713"/>
        <v>0.48120450172557833</v>
      </c>
      <c r="N482" s="47">
        <f t="shared" si="714"/>
        <v>693.94733955586526</v>
      </c>
      <c r="O482" s="1">
        <f t="shared" si="715"/>
        <v>0.99618346287844783</v>
      </c>
      <c r="P482" s="1">
        <f t="shared" si="716"/>
        <v>6.2343556414001347</v>
      </c>
      <c r="Q482" s="1">
        <f t="shared" si="717"/>
        <v>73.933419243108148</v>
      </c>
      <c r="R482" s="1">
        <f t="shared" si="718"/>
        <v>73.727580346474582</v>
      </c>
      <c r="S482" s="47">
        <f t="shared" si="719"/>
        <v>97.970952110069987</v>
      </c>
      <c r="T482" s="1">
        <f t="shared" si="720"/>
        <v>66.902792927246921</v>
      </c>
      <c r="U482" s="47">
        <f t="shared" si="721"/>
        <v>66.723786676935617</v>
      </c>
      <c r="V482" s="47">
        <f t="shared" si="722"/>
        <v>85.199702599812852</v>
      </c>
      <c r="W482" s="2">
        <f t="shared" si="702"/>
        <v>995.43629999268751</v>
      </c>
      <c r="X482" s="1">
        <f t="shared" si="723"/>
        <v>124.14260344997027</v>
      </c>
      <c r="Y482" s="1">
        <f t="shared" si="724"/>
        <v>11.273870925182305</v>
      </c>
      <c r="Z482" s="2">
        <f t="shared" si="725"/>
        <v>4.5443835512656801</v>
      </c>
      <c r="AA482" s="3">
        <f t="shared" si="726"/>
        <v>1000</v>
      </c>
      <c r="AB482" s="1">
        <f t="shared" si="671"/>
        <v>4.5846228506494224E-3</v>
      </c>
      <c r="AC482" s="1">
        <f t="shared" si="730"/>
        <v>0</v>
      </c>
      <c r="AD482" s="64">
        <f t="shared" si="672"/>
        <v>0</v>
      </c>
      <c r="AE482" s="1">
        <f t="shared" si="729"/>
        <v>17.572562454759932</v>
      </c>
    </row>
    <row r="483" spans="1:31" ht="13.5" customHeight="1">
      <c r="A483" s="1">
        <v>4</v>
      </c>
      <c r="B483" s="3">
        <f t="shared" si="703"/>
        <v>1000</v>
      </c>
      <c r="C483" s="1">
        <f t="shared" si="704"/>
        <v>3.2463208569922436E-2</v>
      </c>
      <c r="D483" s="1">
        <f t="shared" si="701"/>
        <v>0.86449889161960036</v>
      </c>
      <c r="E483" s="1">
        <f t="shared" si="705"/>
        <v>73.933419243108148</v>
      </c>
      <c r="F483" s="1">
        <f t="shared" si="706"/>
        <v>20</v>
      </c>
      <c r="G483" s="1">
        <f t="shared" si="707"/>
        <v>996.41793144092048</v>
      </c>
      <c r="H483" s="1">
        <f t="shared" si="708"/>
        <v>66.625381156922217</v>
      </c>
      <c r="I483" s="1">
        <f t="shared" si="709"/>
        <v>184.82461421139604</v>
      </c>
      <c r="J483" s="3">
        <f t="shared" si="710"/>
        <v>20</v>
      </c>
      <c r="K483" s="47">
        <f t="shared" si="711"/>
        <v>0.14578686872629615</v>
      </c>
      <c r="L483" s="3">
        <f t="shared" si="712"/>
        <v>3</v>
      </c>
      <c r="M483" s="47">
        <f t="shared" si="713"/>
        <v>0.46428939084807691</v>
      </c>
      <c r="N483" s="47">
        <f t="shared" si="714"/>
        <v>541.44024176055393</v>
      </c>
      <c r="O483" s="1">
        <f t="shared" si="715"/>
        <v>0.99662113268050445</v>
      </c>
      <c r="P483" s="1">
        <f t="shared" si="716"/>
        <v>6.461487294637859</v>
      </c>
      <c r="Q483" s="1">
        <f t="shared" si="717"/>
        <v>74.116270942448551</v>
      </c>
      <c r="R483" s="1">
        <f t="shared" si="718"/>
        <v>73.933419243108148</v>
      </c>
      <c r="S483" s="47">
        <f t="shared" si="719"/>
        <v>111.96098209010374</v>
      </c>
      <c r="T483" s="1">
        <f t="shared" si="720"/>
        <v>66.701874148403135</v>
      </c>
      <c r="U483" s="47">
        <f t="shared" si="721"/>
        <v>66.544074712083898</v>
      </c>
      <c r="V483" s="47">
        <f t="shared" si="722"/>
        <v>96.621359972573529</v>
      </c>
      <c r="W483" s="2">
        <f t="shared" si="702"/>
        <v>996.42793144092047</v>
      </c>
      <c r="X483" s="1">
        <f t="shared" si="723"/>
        <v>116.86755085172076</v>
      </c>
      <c r="Y483" s="1">
        <f t="shared" si="724"/>
        <v>12.661765604294036</v>
      </c>
      <c r="Z483" s="2">
        <f t="shared" si="725"/>
        <v>4.3592085088425314</v>
      </c>
      <c r="AA483" s="3">
        <f t="shared" si="726"/>
        <v>1000</v>
      </c>
      <c r="AB483" s="1">
        <f t="shared" si="671"/>
        <v>3.5848739746928704E-3</v>
      </c>
      <c r="AC483" s="1">
        <f t="shared" si="730"/>
        <v>0</v>
      </c>
      <c r="AD483" s="64">
        <f t="shared" si="672"/>
        <v>0</v>
      </c>
      <c r="AE483" s="1">
        <f t="shared" si="729"/>
        <v>17.572562454759932</v>
      </c>
    </row>
    <row r="484" spans="1:31" ht="13.5" customHeight="1">
      <c r="A484" s="1">
        <v>5</v>
      </c>
      <c r="B484" s="3">
        <f t="shared" si="703"/>
        <v>1000</v>
      </c>
      <c r="C484" s="1">
        <f t="shared" si="704"/>
        <v>3.0832845078923928E-2</v>
      </c>
      <c r="D484" s="1">
        <f t="shared" si="701"/>
        <v>0.85770109874282219</v>
      </c>
      <c r="E484" s="1">
        <f t="shared" si="705"/>
        <v>74.116270942448551</v>
      </c>
      <c r="F484" s="1">
        <f t="shared" si="706"/>
        <v>20</v>
      </c>
      <c r="G484" s="1">
        <f t="shared" si="707"/>
        <v>997.22303188023466</v>
      </c>
      <c r="H484" s="1">
        <f t="shared" si="708"/>
        <v>66.415585047202384</v>
      </c>
      <c r="I484" s="1">
        <f t="shared" si="709"/>
        <v>194.59767610292164</v>
      </c>
      <c r="J484" s="3">
        <f t="shared" si="710"/>
        <v>22.360679774997898</v>
      </c>
      <c r="K484" s="47">
        <f t="shared" si="711"/>
        <v>0.17661971380522007</v>
      </c>
      <c r="L484" s="3">
        <f t="shared" si="712"/>
        <v>3</v>
      </c>
      <c r="M484" s="47">
        <f t="shared" si="713"/>
        <v>0.44998653198782174</v>
      </c>
      <c r="N484" s="47">
        <f t="shared" si="714"/>
        <v>443.75611980496222</v>
      </c>
      <c r="O484" s="1">
        <f t="shared" si="715"/>
        <v>0.99691126773930738</v>
      </c>
      <c r="P484" s="1">
        <f t="shared" si="716"/>
        <v>6.6668661987447901</v>
      </c>
      <c r="Q484" s="1">
        <f t="shared" si="717"/>
        <v>74.283939497612309</v>
      </c>
      <c r="R484" s="1">
        <f t="shared" si="718"/>
        <v>74.116270942448551</v>
      </c>
      <c r="S484" s="47">
        <f t="shared" si="719"/>
        <v>124.37700335406475</v>
      </c>
      <c r="T484" s="1">
        <f t="shared" si="720"/>
        <v>66.521644022744752</v>
      </c>
      <c r="U484" s="47">
        <f t="shared" si="721"/>
        <v>66.377951120031241</v>
      </c>
      <c r="V484" s="47">
        <f t="shared" si="722"/>
        <v>106.59179728302584</v>
      </c>
      <c r="W484" s="2">
        <f t="shared" si="702"/>
        <v>997.23303188023465</v>
      </c>
      <c r="X484" s="1">
        <f t="shared" si="723"/>
        <v>110.99824228412614</v>
      </c>
      <c r="Y484" s="1">
        <f t="shared" si="724"/>
        <v>13.744646087815143</v>
      </c>
      <c r="Z484" s="2">
        <f t="shared" si="725"/>
        <v>4.2144975546686485</v>
      </c>
      <c r="AA484" s="3">
        <f t="shared" si="726"/>
        <v>1000</v>
      </c>
      <c r="AB484" s="1">
        <f t="shared" si="671"/>
        <v>2.7746454753392324E-3</v>
      </c>
      <c r="AC484" s="1">
        <f t="shared" si="730"/>
        <v>0</v>
      </c>
      <c r="AD484" s="64">
        <f t="shared" si="672"/>
        <v>0</v>
      </c>
      <c r="AE484" s="1">
        <f t="shared" si="729"/>
        <v>17.572562454759932</v>
      </c>
    </row>
    <row r="485" spans="1:31" ht="13.5" customHeight="1">
      <c r="A485" s="1">
        <v>6</v>
      </c>
      <c r="B485" s="3">
        <f t="shared" si="703"/>
        <v>1000</v>
      </c>
      <c r="C485" s="1">
        <f t="shared" si="704"/>
        <v>2.9458747336713324E-2</v>
      </c>
      <c r="D485" s="1">
        <f t="shared" si="701"/>
        <v>0.85142247533523685</v>
      </c>
      <c r="E485" s="1">
        <f t="shared" si="705"/>
        <v>74.283939497612309</v>
      </c>
      <c r="F485" s="1">
        <f t="shared" si="706"/>
        <v>20</v>
      </c>
      <c r="G485" s="1">
        <f t="shared" si="707"/>
        <v>997.90234310306994</v>
      </c>
      <c r="H485" s="1">
        <f t="shared" si="708"/>
        <v>66.218566138005315</v>
      </c>
      <c r="I485" s="1">
        <f t="shared" si="709"/>
        <v>203.67464819260752</v>
      </c>
      <c r="J485" s="3">
        <f t="shared" si="710"/>
        <v>24.494897427831781</v>
      </c>
      <c r="K485" s="47">
        <f t="shared" si="711"/>
        <v>0.2060784611419334</v>
      </c>
      <c r="L485" s="3">
        <f t="shared" si="712"/>
        <v>3</v>
      </c>
      <c r="M485" s="47">
        <f t="shared" si="713"/>
        <v>0.43753388777480556</v>
      </c>
      <c r="N485" s="47">
        <f t="shared" si="714"/>
        <v>375.45730062581663</v>
      </c>
      <c r="O485" s="1">
        <f t="shared" si="715"/>
        <v>0.9971205785049253</v>
      </c>
      <c r="P485" s="1">
        <f t="shared" si="716"/>
        <v>6.8566117592794793</v>
      </c>
      <c r="Q485" s="1">
        <f t="shared" si="717"/>
        <v>74.440697211369582</v>
      </c>
      <c r="R485" s="1">
        <f t="shared" si="718"/>
        <v>74.283939497612309</v>
      </c>
      <c r="S485" s="47">
        <f t="shared" si="719"/>
        <v>135.67843137754929</v>
      </c>
      <c r="T485" s="1">
        <f t="shared" si="720"/>
        <v>66.355167167313652</v>
      </c>
      <c r="U485" s="47">
        <f t="shared" si="721"/>
        <v>66.221691102564307</v>
      </c>
      <c r="V485" s="47">
        <f t="shared" si="722"/>
        <v>115.52747649586847</v>
      </c>
      <c r="W485" s="2">
        <f t="shared" si="702"/>
        <v>997.91234310306993</v>
      </c>
      <c r="X485" s="1">
        <f t="shared" si="723"/>
        <v>106.05149041216796</v>
      </c>
      <c r="Y485" s="1">
        <f t="shared" si="724"/>
        <v>14.632158327425067</v>
      </c>
      <c r="Z485" s="2">
        <f t="shared" si="725"/>
        <v>4.0943052895620493</v>
      </c>
      <c r="AA485" s="3">
        <f t="shared" si="726"/>
        <v>1000</v>
      </c>
      <c r="AB485" s="1">
        <f t="shared" si="671"/>
        <v>2.0920243259425764E-3</v>
      </c>
      <c r="AC485" s="1">
        <f t="shared" si="730"/>
        <v>0</v>
      </c>
      <c r="AD485" s="64">
        <f t="shared" si="672"/>
        <v>0</v>
      </c>
      <c r="AE485" s="1">
        <f t="shared" si="729"/>
        <v>17.572562454759932</v>
      </c>
    </row>
    <row r="486" spans="1:31" ht="13.5" customHeight="1">
      <c r="A486" s="1">
        <v>7</v>
      </c>
      <c r="B486" s="3">
        <f t="shared" si="703"/>
        <v>1000</v>
      </c>
      <c r="C486" s="1">
        <f t="shared" si="704"/>
        <v>2.8268077029249175E-2</v>
      </c>
      <c r="D486" s="1">
        <f t="shared" si="701"/>
        <v>0.84551932909837835</v>
      </c>
      <c r="E486" s="1">
        <f t="shared" si="705"/>
        <v>74.440697211369582</v>
      </c>
      <c r="F486" s="1">
        <f t="shared" si="706"/>
        <v>20</v>
      </c>
      <c r="G486" s="1">
        <f t="shared" si="707"/>
        <v>998.48922323489478</v>
      </c>
      <c r="H486" s="1">
        <f t="shared" si="708"/>
        <v>66.030661781805165</v>
      </c>
      <c r="I486" s="1">
        <f t="shared" si="709"/>
        <v>212.25356057264733</v>
      </c>
      <c r="J486" s="3">
        <f t="shared" si="710"/>
        <v>26.457513110645905</v>
      </c>
      <c r="K486" s="47">
        <f t="shared" si="711"/>
        <v>0.23434653817118256</v>
      </c>
      <c r="L486" s="3">
        <f t="shared" si="712"/>
        <v>3</v>
      </c>
      <c r="M486" s="47">
        <f t="shared" si="713"/>
        <v>0.42647231696302562</v>
      </c>
      <c r="N486" s="47">
        <f t="shared" si="714"/>
        <v>324.86145618534186</v>
      </c>
      <c r="O486" s="1">
        <f t="shared" si="715"/>
        <v>0.99728012634063623</v>
      </c>
      <c r="P486" s="1">
        <f t="shared" si="716"/>
        <v>7.0344542439787352</v>
      </c>
      <c r="Q486" s="1">
        <f t="shared" si="717"/>
        <v>74.589172864730813</v>
      </c>
      <c r="R486" s="1">
        <f t="shared" si="718"/>
        <v>74.440697211369582</v>
      </c>
      <c r="S486" s="47">
        <f t="shared" si="719"/>
        <v>146.13797254522348</v>
      </c>
      <c r="T486" s="1">
        <f t="shared" si="720"/>
        <v>66.198648169665859</v>
      </c>
      <c r="U486" s="47">
        <f t="shared" si="721"/>
        <v>66.072993683410971</v>
      </c>
      <c r="V486" s="47">
        <f t="shared" si="722"/>
        <v>123.67611420994847</v>
      </c>
      <c r="W486" s="2">
        <f t="shared" si="702"/>
        <v>998.49922323489477</v>
      </c>
      <c r="X486" s="1">
        <f t="shared" si="723"/>
        <v>101.76507730529703</v>
      </c>
      <c r="Y486" s="1">
        <f t="shared" si="724"/>
        <v>15.3830729286767</v>
      </c>
      <c r="Z486" s="2">
        <f t="shared" si="725"/>
        <v>3.9906779824992404</v>
      </c>
      <c r="AA486" s="3">
        <f t="shared" si="726"/>
        <v>1000</v>
      </c>
      <c r="AB486" s="1">
        <f t="shared" si="671"/>
        <v>1.5030324813303242E-3</v>
      </c>
      <c r="AC486" s="1">
        <f t="shared" si="730"/>
        <v>0</v>
      </c>
      <c r="AD486" s="64">
        <f t="shared" si="672"/>
        <v>0</v>
      </c>
      <c r="AE486" s="1">
        <f t="shared" si="729"/>
        <v>17.572562454759932</v>
      </c>
    </row>
    <row r="487" spans="1:31" ht="13.5" customHeight="1">
      <c r="A487" s="1">
        <v>8</v>
      </c>
      <c r="B487" s="3">
        <f t="shared" si="703"/>
        <v>1000</v>
      </c>
      <c r="C487" s="1">
        <f t="shared" si="704"/>
        <v>2.7216315551570294E-2</v>
      </c>
      <c r="D487" s="1">
        <f t="shared" si="701"/>
        <v>0.83990335330777488</v>
      </c>
      <c r="E487" s="1">
        <f t="shared" si="705"/>
        <v>74.589172864730813</v>
      </c>
      <c r="F487" s="1">
        <f t="shared" si="706"/>
        <v>20</v>
      </c>
      <c r="G487" s="1">
        <f t="shared" si="707"/>
        <v>999.00433186522059</v>
      </c>
      <c r="H487" s="1">
        <f t="shared" si="708"/>
        <v>65.849629343385203</v>
      </c>
      <c r="I487" s="1">
        <f t="shared" si="709"/>
        <v>220.45599774999005</v>
      </c>
      <c r="J487" s="3">
        <f t="shared" si="710"/>
        <v>28.284271247461902</v>
      </c>
      <c r="K487" s="47">
        <f t="shared" si="711"/>
        <v>0.26156285372275284</v>
      </c>
      <c r="L487" s="3">
        <f t="shared" si="712"/>
        <v>3</v>
      </c>
      <c r="M487" s="47">
        <f t="shared" si="713"/>
        <v>0.41650135943113503</v>
      </c>
      <c r="N487" s="47">
        <f t="shared" si="714"/>
        <v>285.80584574328799</v>
      </c>
      <c r="O487" s="1">
        <f t="shared" si="715"/>
        <v>0.99740654389731576</v>
      </c>
      <c r="P487" s="1">
        <f t="shared" si="716"/>
        <v>7.2028576427636475</v>
      </c>
      <c r="Q487" s="1">
        <f t="shared" si="717"/>
        <v>74.731115610517634</v>
      </c>
      <c r="R487" s="1">
        <f t="shared" si="718"/>
        <v>74.589172864730813</v>
      </c>
      <c r="S487" s="47">
        <f t="shared" si="719"/>
        <v>155.9331885436176</v>
      </c>
      <c r="T487" s="1">
        <f t="shared" si="720"/>
        <v>66.049752025528036</v>
      </c>
      <c r="U487" s="47">
        <f t="shared" si="721"/>
        <v>65.93032401511033</v>
      </c>
      <c r="V487" s="47">
        <f t="shared" si="722"/>
        <v>131.19931112099593</v>
      </c>
      <c r="W487" s="2">
        <f t="shared" si="702"/>
        <v>999.01433186522058</v>
      </c>
      <c r="X487" s="1">
        <f t="shared" si="723"/>
        <v>97.97873598565306</v>
      </c>
      <c r="Y487" s="1">
        <f t="shared" si="724"/>
        <v>16.032795841047385</v>
      </c>
      <c r="Z487" s="2">
        <f t="shared" si="725"/>
        <v>3.8990579242457719</v>
      </c>
      <c r="AA487" s="3">
        <f t="shared" si="726"/>
        <v>1000</v>
      </c>
      <c r="AB487" s="1">
        <f t="shared" si="671"/>
        <v>9.866406350138579E-4</v>
      </c>
      <c r="AC487" s="1">
        <f t="shared" si="730"/>
        <v>0</v>
      </c>
      <c r="AD487" s="64">
        <f t="shared" si="672"/>
        <v>0</v>
      </c>
      <c r="AE487" s="1">
        <f t="shared" si="729"/>
        <v>17.572562454759932</v>
      </c>
    </row>
    <row r="488" spans="1:31" ht="13.5" customHeight="1">
      <c r="A488" s="1">
        <v>9</v>
      </c>
      <c r="B488" s="3">
        <f t="shared" si="703"/>
        <v>1000</v>
      </c>
      <c r="C488" s="1">
        <f t="shared" si="704"/>
        <v>2.6274003792105229E-2</v>
      </c>
      <c r="D488" s="1">
        <f t="shared" si="701"/>
        <v>0.83451591404933367</v>
      </c>
      <c r="E488" s="1">
        <f t="shared" si="705"/>
        <v>74.731115610517634</v>
      </c>
      <c r="F488" s="1">
        <f t="shared" si="706"/>
        <v>20</v>
      </c>
      <c r="G488" s="1">
        <f t="shared" si="707"/>
        <v>999.46153536366489</v>
      </c>
      <c r="H488" s="1">
        <f t="shared" si="708"/>
        <v>65.673986970650873</v>
      </c>
      <c r="I488" s="1">
        <f t="shared" si="709"/>
        <v>228.36260691272605</v>
      </c>
      <c r="J488" s="3">
        <f t="shared" si="710"/>
        <v>30</v>
      </c>
      <c r="K488" s="47">
        <f t="shared" si="711"/>
        <v>0.28783685751485805</v>
      </c>
      <c r="L488" s="3">
        <f t="shared" si="712"/>
        <v>3</v>
      </c>
      <c r="M488" s="47">
        <f t="shared" si="713"/>
        <v>0.40741239563320319</v>
      </c>
      <c r="N488" s="47">
        <f t="shared" si="714"/>
        <v>254.71461075468369</v>
      </c>
      <c r="O488" s="1">
        <f t="shared" si="715"/>
        <v>0.99750963016515048</v>
      </c>
      <c r="P488" s="1">
        <f t="shared" si="716"/>
        <v>7.3635462056508594</v>
      </c>
      <c r="Q488" s="1">
        <f t="shared" si="717"/>
        <v>74.867756616501225</v>
      </c>
      <c r="R488" s="1">
        <f t="shared" si="718"/>
        <v>74.731115610517634</v>
      </c>
      <c r="S488" s="47">
        <f t="shared" si="719"/>
        <v>165.18733463395048</v>
      </c>
      <c r="T488" s="1">
        <f t="shared" si="720"/>
        <v>65.90692534220814</v>
      </c>
      <c r="U488" s="47">
        <f t="shared" si="721"/>
        <v>65.792600120125215</v>
      </c>
      <c r="V488" s="47">
        <f t="shared" si="722"/>
        <v>138.2094531679557</v>
      </c>
      <c r="W488" s="2">
        <f t="shared" si="702"/>
        <v>999.47153536366488</v>
      </c>
      <c r="X488" s="1">
        <f t="shared" si="723"/>
        <v>94.586413651578823</v>
      </c>
      <c r="Y488" s="1">
        <f t="shared" si="724"/>
        <v>16.604407532533962</v>
      </c>
      <c r="Z488" s="2">
        <f t="shared" si="725"/>
        <v>3.8165814412826014</v>
      </c>
      <c r="AA488" s="3">
        <f t="shared" si="726"/>
        <v>1000</v>
      </c>
      <c r="AB488" s="1">
        <f t="shared" si="671"/>
        <v>5.2874405887193276E-4</v>
      </c>
      <c r="AC488" s="1">
        <f t="shared" si="730"/>
        <v>0</v>
      </c>
      <c r="AD488" s="64">
        <f t="shared" si="672"/>
        <v>0</v>
      </c>
      <c r="AE488" s="1">
        <f t="shared" si="729"/>
        <v>17.572562454759932</v>
      </c>
    </row>
    <row r="489" spans="1:31" ht="13.5" customHeight="1">
      <c r="A489" s="1">
        <v>10</v>
      </c>
      <c r="B489" s="3">
        <f t="shared" si="703"/>
        <v>1000</v>
      </c>
      <c r="C489" s="1">
        <f t="shared" si="704"/>
        <v>2.5420504615796907E-2</v>
      </c>
      <c r="D489" s="1">
        <f t="shared" si="701"/>
        <v>0.82931585605782299</v>
      </c>
      <c r="E489" s="1">
        <f t="shared" si="705"/>
        <v>74.867756616501225</v>
      </c>
      <c r="F489" s="1">
        <f t="shared" si="706"/>
        <v>20</v>
      </c>
      <c r="G489" s="1">
        <f t="shared" si="707"/>
        <v>999.87069422822412</v>
      </c>
      <c r="H489" s="1">
        <f t="shared" si="708"/>
        <v>65.502700548386002</v>
      </c>
      <c r="I489" s="1">
        <f t="shared" si="709"/>
        <v>236.029932949146</v>
      </c>
      <c r="J489" s="3">
        <f t="shared" si="710"/>
        <v>31.622776601683793</v>
      </c>
      <c r="K489" s="47">
        <f t="shared" si="711"/>
        <v>0.31325736213065497</v>
      </c>
      <c r="L489" s="3">
        <f t="shared" si="712"/>
        <v>3</v>
      </c>
      <c r="M489" s="47">
        <f t="shared" si="713"/>
        <v>0.39905396449764963</v>
      </c>
      <c r="N489" s="47">
        <f t="shared" si="714"/>
        <v>229.36285035830113</v>
      </c>
      <c r="O489" s="1">
        <f t="shared" si="715"/>
        <v>0.99759557484547667</v>
      </c>
      <c r="P489" s="1">
        <f t="shared" si="716"/>
        <v>7.517780217461465</v>
      </c>
      <c r="Q489" s="1">
        <f t="shared" si="717"/>
        <v>75</v>
      </c>
      <c r="R489" s="1">
        <f t="shared" si="718"/>
        <v>74.867756616501225</v>
      </c>
      <c r="S489" s="47">
        <f t="shared" si="719"/>
        <v>173.99009659105758</v>
      </c>
      <c r="T489" s="1">
        <f t="shared" si="720"/>
        <v>65.769075075569546</v>
      </c>
      <c r="U489" s="47">
        <f t="shared" si="721"/>
        <v>65.659026760158582</v>
      </c>
      <c r="V489" s="47">
        <f t="shared" si="722"/>
        <v>144.78846896875839</v>
      </c>
      <c r="W489" s="2">
        <f t="shared" si="702"/>
        <v>999.88069422822412</v>
      </c>
      <c r="X489" s="1">
        <f t="shared" si="723"/>
        <v>91.513816616868866</v>
      </c>
      <c r="Y489" s="1">
        <f t="shared" si="724"/>
        <v>17.11383675404333</v>
      </c>
      <c r="Z489" s="2">
        <f t="shared" si="725"/>
        <v>3.7413267122715008</v>
      </c>
      <c r="AA489" s="3">
        <f t="shared" si="726"/>
        <v>1000</v>
      </c>
      <c r="AB489" s="1">
        <f t="shared" si="671"/>
        <v>1.1932000734149462E-4</v>
      </c>
      <c r="AC489" s="1">
        <f t="shared" si="730"/>
        <v>0</v>
      </c>
      <c r="AD489" s="64">
        <f t="shared" si="672"/>
        <v>0</v>
      </c>
      <c r="AE489" s="1">
        <f t="shared" si="729"/>
        <v>17.572562454759932</v>
      </c>
    </row>
    <row r="490" spans="1:31" ht="13.5" customHeight="1">
      <c r="K490" s="47"/>
      <c r="L490" s="47"/>
      <c r="M490" s="47"/>
      <c r="N490" s="47">
        <f>SUM(N480:N489)</f>
        <v>5786.2812273799673</v>
      </c>
      <c r="O490" s="2" t="s">
        <v>46</v>
      </c>
      <c r="P490" s="2"/>
      <c r="Q490" s="2"/>
      <c r="R490" s="49">
        <f>R470</f>
        <v>75</v>
      </c>
      <c r="S490" s="50" t="s">
        <v>45</v>
      </c>
      <c r="T490" s="2"/>
      <c r="U490" s="11">
        <f>U489</f>
        <v>65.659026760158582</v>
      </c>
      <c r="V490" s="47"/>
      <c r="W490" s="2"/>
      <c r="Y490" s="1">
        <f>N491</f>
        <v>17.572562454759932</v>
      </c>
      <c r="AE490" s="1">
        <f t="shared" si="729"/>
        <v>17.572562454759932</v>
      </c>
    </row>
    <row r="491" spans="1:31" ht="13.5" customHeight="1">
      <c r="K491" s="47"/>
      <c r="L491" s="2" t="s">
        <v>44</v>
      </c>
      <c r="M491" s="2"/>
      <c r="N491" s="47">
        <f>N490*2/1000+Y491</f>
        <v>17.572562454759932</v>
      </c>
      <c r="O491" s="2" t="s">
        <v>1</v>
      </c>
      <c r="P491" s="1">
        <f>SUM(P480:P489)</f>
        <v>66.967436345186997</v>
      </c>
      <c r="Q491" s="1" t="s">
        <v>43</v>
      </c>
      <c r="S491" s="47"/>
      <c r="U491" s="47"/>
      <c r="V491" s="47"/>
      <c r="W491" s="2"/>
      <c r="Y491" s="3">
        <f>Y471</f>
        <v>6</v>
      </c>
      <c r="Z491" s="3" t="s">
        <v>42</v>
      </c>
      <c r="AE491" s="1">
        <f>N491</f>
        <v>17.572562454759932</v>
      </c>
    </row>
    <row r="492" spans="1:31" ht="13.5" customHeight="1">
      <c r="L492" s="60" t="s">
        <v>41</v>
      </c>
      <c r="N492" s="3">
        <f>N472</f>
        <v>15</v>
      </c>
      <c r="O492" s="1" t="s">
        <v>1</v>
      </c>
    </row>
    <row r="495" spans="1:31" ht="13.5" customHeight="1" thickBot="1"/>
    <row r="496" spans="1:31" ht="13.5" customHeight="1">
      <c r="B496" s="14" t="s">
        <v>40</v>
      </c>
      <c r="C496" s="15"/>
      <c r="D496" s="15"/>
      <c r="E496" s="15"/>
      <c r="F496" s="15"/>
      <c r="G496" s="15"/>
      <c r="H496" s="15" t="s">
        <v>39</v>
      </c>
      <c r="I496" s="16"/>
      <c r="J496" s="14" t="s">
        <v>38</v>
      </c>
      <c r="K496" s="15"/>
      <c r="L496" s="15"/>
      <c r="M496" s="15"/>
      <c r="N496" s="15" t="s">
        <v>37</v>
      </c>
      <c r="O496" s="15"/>
      <c r="P496" s="15"/>
      <c r="Q496" s="15"/>
      <c r="R496" s="15"/>
      <c r="S496" s="16"/>
      <c r="T496" s="14" t="s">
        <v>36</v>
      </c>
      <c r="U496" s="15"/>
      <c r="V496" s="16"/>
      <c r="W496" s="14"/>
      <c r="X496" s="15"/>
      <c r="Y496" s="15"/>
      <c r="Z496" s="16"/>
    </row>
    <row r="497" spans="1:31" ht="13.5" customHeight="1">
      <c r="B497" s="17" t="s">
        <v>35</v>
      </c>
      <c r="C497" s="18" t="s">
        <v>22</v>
      </c>
      <c r="D497" s="18"/>
      <c r="E497" s="18" t="s">
        <v>34</v>
      </c>
      <c r="F497" s="18" t="s">
        <v>33</v>
      </c>
      <c r="G497" s="18" t="s">
        <v>7</v>
      </c>
      <c r="H497" s="18" t="s">
        <v>32</v>
      </c>
      <c r="I497" s="19" t="s">
        <v>22</v>
      </c>
      <c r="J497" s="17" t="s">
        <v>31</v>
      </c>
      <c r="K497" s="18"/>
      <c r="L497" s="18" t="s">
        <v>30</v>
      </c>
      <c r="M497" s="18"/>
      <c r="N497" s="18" t="s">
        <v>29</v>
      </c>
      <c r="O497" s="18"/>
      <c r="P497" s="18" t="s">
        <v>28</v>
      </c>
      <c r="Q497" s="20" t="s">
        <v>27</v>
      </c>
      <c r="R497" s="21" t="s">
        <v>26</v>
      </c>
      <c r="S497" s="22" t="s">
        <v>7</v>
      </c>
      <c r="T497" s="23" t="s">
        <v>25</v>
      </c>
      <c r="U497" s="24" t="s">
        <v>24</v>
      </c>
      <c r="V497" s="25" t="s">
        <v>7</v>
      </c>
      <c r="W497" s="26" t="s">
        <v>23</v>
      </c>
      <c r="X497" s="4" t="s">
        <v>22</v>
      </c>
      <c r="Y497" s="4" t="s">
        <v>21</v>
      </c>
      <c r="Z497" s="5" t="s">
        <v>20</v>
      </c>
    </row>
    <row r="498" spans="1:31" ht="13.5" customHeight="1">
      <c r="B498" s="54" t="s">
        <v>3</v>
      </c>
      <c r="C498" s="28" t="s">
        <v>17</v>
      </c>
      <c r="D498" s="20" t="s">
        <v>13</v>
      </c>
      <c r="E498" s="20" t="s">
        <v>19</v>
      </c>
      <c r="F498" s="28" t="s">
        <v>19</v>
      </c>
      <c r="G498" s="20" t="s">
        <v>3</v>
      </c>
      <c r="H498" s="20" t="s">
        <v>19</v>
      </c>
      <c r="I498" s="29" t="s">
        <v>12</v>
      </c>
      <c r="J498" s="55" t="s">
        <v>18</v>
      </c>
      <c r="K498" s="20" t="s">
        <v>17</v>
      </c>
      <c r="L498" s="56" t="s">
        <v>16</v>
      </c>
      <c r="M498" s="20" t="s">
        <v>15</v>
      </c>
      <c r="N498" s="20" t="s">
        <v>14</v>
      </c>
      <c r="O498" s="20" t="s">
        <v>13</v>
      </c>
      <c r="P498" s="20" t="s">
        <v>12</v>
      </c>
      <c r="Q498" s="20" t="s">
        <v>11</v>
      </c>
      <c r="R498" s="21" t="s">
        <v>11</v>
      </c>
      <c r="S498" s="22" t="s">
        <v>10</v>
      </c>
      <c r="T498" s="23" t="s">
        <v>9</v>
      </c>
      <c r="U498" s="24" t="s">
        <v>9</v>
      </c>
      <c r="V498" s="33" t="s">
        <v>8</v>
      </c>
      <c r="W498" s="34" t="s">
        <v>7</v>
      </c>
      <c r="X498" s="4" t="s">
        <v>6</v>
      </c>
      <c r="Y498" s="6" t="s">
        <v>5</v>
      </c>
      <c r="Z498" s="7" t="s">
        <v>5</v>
      </c>
    </row>
    <row r="499" spans="1:31" ht="13.5" customHeight="1" thickBot="1">
      <c r="B499" s="57"/>
      <c r="C499" s="3">
        <f>C479</f>
        <v>1.05</v>
      </c>
      <c r="D499" s="37"/>
      <c r="E499" s="38"/>
      <c r="F499" s="38"/>
      <c r="G499" s="37"/>
      <c r="H499" s="37"/>
      <c r="I499" s="39"/>
      <c r="J499" s="58" t="s">
        <v>4</v>
      </c>
      <c r="K499" s="44"/>
      <c r="L499" s="59"/>
      <c r="M499" s="37"/>
      <c r="N499" s="37"/>
      <c r="O499" s="37"/>
      <c r="P499" s="37"/>
      <c r="Q499" s="42"/>
      <c r="R499" s="42"/>
      <c r="S499" s="52" t="s">
        <v>3</v>
      </c>
      <c r="T499" s="43"/>
      <c r="U499" s="44"/>
      <c r="V499" s="39" t="s">
        <v>3</v>
      </c>
      <c r="W499" s="45" t="s">
        <v>3</v>
      </c>
      <c r="X499" s="8" t="s">
        <v>2</v>
      </c>
      <c r="Y499" s="9" t="s">
        <v>1</v>
      </c>
      <c r="Z499" s="13" t="s">
        <v>0</v>
      </c>
    </row>
    <row r="500" spans="1:31" ht="13.5" customHeight="1">
      <c r="A500" s="1">
        <v>1</v>
      </c>
      <c r="B500" s="3">
        <f t="shared" ref="B500:B509" si="731">B480</f>
        <v>1000</v>
      </c>
      <c r="C500" s="1">
        <f t="shared" ref="C500:C509" si="732">IF(B500&lt;1,0.000001,C480*(1+AB480))</f>
        <v>4.1976978302634083E-2</v>
      </c>
      <c r="D500" s="1">
        <f t="shared" si="701"/>
        <v>0.89405432112075756</v>
      </c>
      <c r="E500" s="1">
        <f t="shared" ref="E500:E509" si="733">R500</f>
        <v>73.147267711418493</v>
      </c>
      <c r="F500" s="1">
        <f t="shared" ref="F500:F509" si="734">F480</f>
        <v>20</v>
      </c>
      <c r="G500" s="1">
        <f t="shared" ref="G500:G509" si="735">(E500-F500)*C500*(1-D500)*4200</f>
        <v>992.71515939936467</v>
      </c>
      <c r="H500" s="1">
        <f t="shared" ref="H500:H509" si="736">(E500-F500)*D500+F500</f>
        <v>67.51654435315541</v>
      </c>
      <c r="I500" s="1">
        <f t="shared" ref="I500:I509" si="737">B500*0.001*6/C500</f>
        <v>142.93549089557732</v>
      </c>
      <c r="J500" s="3">
        <f t="shared" ref="J500:J509" si="738">J480</f>
        <v>10</v>
      </c>
      <c r="K500" s="47">
        <f t="shared" ref="K500:K509" si="739">K499+C500</f>
        <v>4.1976978302634083E-2</v>
      </c>
      <c r="L500" s="3">
        <f t="shared" ref="L500:L509" si="740">L480</f>
        <v>3</v>
      </c>
      <c r="M500" s="47">
        <f t="shared" ref="M500:M509" si="741">K500/(J500*J500*3.14/4000)</f>
        <v>0.53473857710361894</v>
      </c>
      <c r="N500" s="47">
        <f t="shared" ref="N500:N509" si="742">L500*26400/J500^1.27*M500^1.83*$N$69</f>
        <v>1690.9632498193762</v>
      </c>
      <c r="O500" s="1">
        <f t="shared" ref="O500:O509" si="743">EXP(-(J500+2)*3.14/1000*$O$66/(M500*J500*J500*3.14/4000*4200)*L500)</f>
        <v>0.99360883321128968</v>
      </c>
      <c r="P500" s="1">
        <f t="shared" ref="P500:P509" si="744">L500/M500</f>
        <v>5.6102180176514089</v>
      </c>
      <c r="Q500" s="1">
        <f t="shared" ref="Q500:Q509" si="745">R501</f>
        <v>73.489125634732346</v>
      </c>
      <c r="R500" s="1">
        <f t="shared" ref="R500:R509" si="746">(Q500-F500)*O500+F500</f>
        <v>73.147267711418493</v>
      </c>
      <c r="S500" s="47">
        <f t="shared" ref="S500:S509" si="747">K500*(1-O500)*4200*(Q500-F500)</f>
        <v>60.27068304402286</v>
      </c>
      <c r="T500" s="1">
        <f t="shared" ref="T500:T509" si="748">(U499*K499+H500*C500)/K500</f>
        <v>67.51654435315541</v>
      </c>
      <c r="U500" s="47">
        <f t="shared" ref="U500:U509" si="749">(T500-F500)*O500+F500</f>
        <v>67.21285819297124</v>
      </c>
      <c r="V500" s="47">
        <f t="shared" ref="V500:V509" si="750">K500*(1-O500)*4200*(T500-F500)</f>
        <v>53.540874898816512</v>
      </c>
      <c r="W500" s="2">
        <f t="shared" si="702"/>
        <v>992.72515939936466</v>
      </c>
      <c r="X500" s="1">
        <f t="shared" ref="X500:X509" si="751">C500*3600</f>
        <v>151.11712188948269</v>
      </c>
      <c r="Y500" s="1">
        <f t="shared" ref="Y500:Y509" si="752">Y501-2*N500/1000</f>
        <v>5.9999999999999991</v>
      </c>
      <c r="Z500" s="2">
        <f t="shared" ref="Z500:Z509" si="753">-1.1-1.8*LOG10(Y500/X500/X500)</f>
        <v>5.34485697430563</v>
      </c>
      <c r="AA500" s="3">
        <f t="shared" ref="AA500:AA509" si="754">AA480</f>
        <v>1000</v>
      </c>
      <c r="AB500" s="1">
        <f t="shared" ref="AB500" si="755">((AA500/W500)-1)*AB$23+AC500+AD500</f>
        <v>7.3281517364149895E-3</v>
      </c>
      <c r="AC500" s="1">
        <f>((N512/N511)-1)*AB$24</f>
        <v>0</v>
      </c>
      <c r="AD500" s="64">
        <f t="shared" ref="AD500" si="756">(AC$21-(X500/1000/SQRT(Y500/104))*1000/B500)*AB$21</f>
        <v>0</v>
      </c>
      <c r="AE500" s="1">
        <f t="shared" ref="AE500:AE510" si="757">AE501</f>
        <v>17.704748734032336</v>
      </c>
    </row>
    <row r="501" spans="1:31" ht="13.5" customHeight="1">
      <c r="A501" s="1">
        <v>2</v>
      </c>
      <c r="B501" s="3">
        <f t="shared" si="731"/>
        <v>1000</v>
      </c>
      <c r="C501" s="1">
        <f t="shared" si="732"/>
        <v>3.7417324067738476E-2</v>
      </c>
      <c r="D501" s="1">
        <f t="shared" si="701"/>
        <v>0.88167107831029856</v>
      </c>
      <c r="E501" s="1">
        <f t="shared" si="733"/>
        <v>73.489125634732346</v>
      </c>
      <c r="F501" s="1">
        <f t="shared" si="734"/>
        <v>20</v>
      </c>
      <c r="G501" s="1">
        <f t="shared" si="735"/>
        <v>994.66863002686796</v>
      </c>
      <c r="H501" s="1">
        <f t="shared" si="736"/>
        <v>67.159815076249501</v>
      </c>
      <c r="I501" s="1">
        <f t="shared" si="737"/>
        <v>160.35353006906362</v>
      </c>
      <c r="J501" s="3">
        <f t="shared" si="738"/>
        <v>14.142135623730951</v>
      </c>
      <c r="K501" s="47">
        <f t="shared" si="739"/>
        <v>7.9394302370372566E-2</v>
      </c>
      <c r="L501" s="3">
        <f t="shared" si="740"/>
        <v>3</v>
      </c>
      <c r="M501" s="47">
        <f t="shared" si="741"/>
        <v>0.50569619344186334</v>
      </c>
      <c r="N501" s="47">
        <f t="shared" si="742"/>
        <v>983.10356298285217</v>
      </c>
      <c r="O501" s="1">
        <f t="shared" si="743"/>
        <v>0.99545029295961263</v>
      </c>
      <c r="P501" s="1">
        <f t="shared" si="744"/>
        <v>5.9324156260331646</v>
      </c>
      <c r="Q501" s="1">
        <f t="shared" si="745"/>
        <v>73.733597762778999</v>
      </c>
      <c r="R501" s="1">
        <f t="shared" si="746"/>
        <v>73.489125634732346</v>
      </c>
      <c r="S501" s="47">
        <f t="shared" si="747"/>
        <v>81.520715032112463</v>
      </c>
      <c r="T501" s="1">
        <f t="shared" si="748"/>
        <v>67.187859780885177</v>
      </c>
      <c r="U501" s="47">
        <f t="shared" si="749"/>
        <v>66.973168843019266</v>
      </c>
      <c r="V501" s="47">
        <f t="shared" si="750"/>
        <v>71.589996395839179</v>
      </c>
      <c r="W501" s="2">
        <f t="shared" si="702"/>
        <v>994.67863002686795</v>
      </c>
      <c r="X501" s="1">
        <f t="shared" si="751"/>
        <v>134.70236664385851</v>
      </c>
      <c r="Y501" s="1">
        <f t="shared" si="752"/>
        <v>9.3819264996387517</v>
      </c>
      <c r="Z501" s="2">
        <f t="shared" si="753"/>
        <v>4.8156251666931542</v>
      </c>
      <c r="AA501" s="3">
        <f t="shared" si="754"/>
        <v>1000</v>
      </c>
      <c r="AB501" s="1">
        <f t="shared" si="671"/>
        <v>5.349838442782584E-3</v>
      </c>
      <c r="AC501" s="1">
        <f t="shared" ref="AC501:AC509" si="758">AC500</f>
        <v>0</v>
      </c>
      <c r="AD501" s="64">
        <f t="shared" si="672"/>
        <v>0</v>
      </c>
      <c r="AE501" s="1">
        <f t="shared" si="757"/>
        <v>17.704748734032336</v>
      </c>
    </row>
    <row r="502" spans="1:31" ht="13.5" customHeight="1">
      <c r="A502" s="1">
        <v>3</v>
      </c>
      <c r="B502" s="3">
        <f t="shared" si="731"/>
        <v>1000</v>
      </c>
      <c r="C502" s="1">
        <f t="shared" si="732"/>
        <v>3.4642152907357254E-2</v>
      </c>
      <c r="D502" s="1">
        <f t="shared" si="701"/>
        <v>0.87261824625962137</v>
      </c>
      <c r="E502" s="1">
        <f t="shared" si="733"/>
        <v>73.733597762778999</v>
      </c>
      <c r="F502" s="1">
        <f t="shared" si="734"/>
        <v>20</v>
      </c>
      <c r="G502" s="1">
        <f t="shared" si="735"/>
        <v>995.8806829206676</v>
      </c>
      <c r="H502" s="1">
        <f t="shared" si="736"/>
        <v>66.888917844976135</v>
      </c>
      <c r="I502" s="1">
        <f t="shared" si="737"/>
        <v>173.19939716349811</v>
      </c>
      <c r="J502" s="3">
        <f t="shared" si="738"/>
        <v>17.320508075688775</v>
      </c>
      <c r="K502" s="47">
        <f t="shared" si="739"/>
        <v>0.11403645527772982</v>
      </c>
      <c r="L502" s="3">
        <f t="shared" si="740"/>
        <v>3</v>
      </c>
      <c r="M502" s="47">
        <f t="shared" si="741"/>
        <v>0.48423123260182499</v>
      </c>
      <c r="N502" s="47">
        <f t="shared" si="742"/>
        <v>701.95588224074118</v>
      </c>
      <c r="O502" s="1">
        <f t="shared" si="743"/>
        <v>0.99620727319064073</v>
      </c>
      <c r="P502" s="1">
        <f t="shared" si="744"/>
        <v>6.1953872406798025</v>
      </c>
      <c r="Q502" s="1">
        <f t="shared" si="745"/>
        <v>73.938170508112904</v>
      </c>
      <c r="R502" s="1">
        <f t="shared" si="746"/>
        <v>73.733597762778999</v>
      </c>
      <c r="S502" s="47">
        <f t="shared" si="747"/>
        <v>97.980753042114571</v>
      </c>
      <c r="T502" s="1">
        <f t="shared" si="748"/>
        <v>66.947574957715659</v>
      </c>
      <c r="U502" s="47">
        <f t="shared" si="749"/>
        <v>66.769515631539122</v>
      </c>
      <c r="V502" s="47">
        <f t="shared" si="750"/>
        <v>85.282068422513788</v>
      </c>
      <c r="W502" s="2">
        <f t="shared" si="702"/>
        <v>995.89068292066759</v>
      </c>
      <c r="X502" s="1">
        <f t="shared" si="751"/>
        <v>124.71175046648611</v>
      </c>
      <c r="Y502" s="1">
        <f t="shared" si="752"/>
        <v>11.348133625604456</v>
      </c>
      <c r="Z502" s="2">
        <f t="shared" si="753"/>
        <v>4.5464025564082373</v>
      </c>
      <c r="AA502" s="3">
        <f t="shared" si="754"/>
        <v>1000</v>
      </c>
      <c r="AB502" s="1">
        <f t="shared" si="671"/>
        <v>4.1262732444498074E-3</v>
      </c>
      <c r="AC502" s="1">
        <f t="shared" si="758"/>
        <v>0</v>
      </c>
      <c r="AD502" s="64">
        <f t="shared" si="672"/>
        <v>0</v>
      </c>
      <c r="AE502" s="1">
        <f t="shared" si="757"/>
        <v>17.704748734032336</v>
      </c>
    </row>
    <row r="503" spans="1:31" ht="13.5" customHeight="1">
      <c r="A503" s="1">
        <v>4</v>
      </c>
      <c r="B503" s="3">
        <f t="shared" si="731"/>
        <v>1000</v>
      </c>
      <c r="C503" s="1">
        <f t="shared" si="732"/>
        <v>3.2579585081459778E-2</v>
      </c>
      <c r="D503" s="1">
        <f t="shared" si="701"/>
        <v>0.86494449471856605</v>
      </c>
      <c r="E503" s="1">
        <f t="shared" si="733"/>
        <v>73.938170508112904</v>
      </c>
      <c r="F503" s="1">
        <f t="shared" si="734"/>
        <v>20</v>
      </c>
      <c r="G503" s="1">
        <f t="shared" si="735"/>
        <v>996.78924472012773</v>
      </c>
      <c r="H503" s="1">
        <f t="shared" si="736"/>
        <v>66.653523636183579</v>
      </c>
      <c r="I503" s="1">
        <f t="shared" si="737"/>
        <v>184.1644080180275</v>
      </c>
      <c r="J503" s="3">
        <f t="shared" si="738"/>
        <v>20</v>
      </c>
      <c r="K503" s="47">
        <f t="shared" si="739"/>
        <v>0.1466160403591896</v>
      </c>
      <c r="L503" s="3">
        <f t="shared" si="740"/>
        <v>3</v>
      </c>
      <c r="M503" s="47">
        <f t="shared" si="741"/>
        <v>0.46693006483818345</v>
      </c>
      <c r="N503" s="47">
        <f t="shared" si="742"/>
        <v>547.08897665680706</v>
      </c>
      <c r="O503" s="1">
        <f t="shared" si="743"/>
        <v>0.99664020937316289</v>
      </c>
      <c r="P503" s="1">
        <f t="shared" si="744"/>
        <v>6.4249450312000418</v>
      </c>
      <c r="Q503" s="1">
        <f t="shared" si="745"/>
        <v>74.120002384849926</v>
      </c>
      <c r="R503" s="1">
        <f t="shared" si="746"/>
        <v>73.938170508112904</v>
      </c>
      <c r="S503" s="47">
        <f t="shared" si="747"/>
        <v>111.96977306870141</v>
      </c>
      <c r="T503" s="1">
        <f t="shared" si="748"/>
        <v>66.743741022756907</v>
      </c>
      <c r="U503" s="47">
        <f t="shared" si="749"/>
        <v>66.586691839805354</v>
      </c>
      <c r="V503" s="47">
        <f t="shared" si="750"/>
        <v>96.708903253215439</v>
      </c>
      <c r="W503" s="2">
        <f t="shared" si="702"/>
        <v>996.79924472012772</v>
      </c>
      <c r="X503" s="1">
        <f t="shared" si="751"/>
        <v>117.2865062932552</v>
      </c>
      <c r="Y503" s="1">
        <f t="shared" si="752"/>
        <v>12.752045390085938</v>
      </c>
      <c r="Z503" s="2">
        <f t="shared" si="753"/>
        <v>4.3592492494676556</v>
      </c>
      <c r="AA503" s="3">
        <f t="shared" si="754"/>
        <v>1000</v>
      </c>
      <c r="AB503" s="1">
        <f t="shared" si="671"/>
        <v>3.2110330107353313E-3</v>
      </c>
      <c r="AC503" s="1">
        <f t="shared" si="758"/>
        <v>0</v>
      </c>
      <c r="AD503" s="64">
        <f t="shared" si="672"/>
        <v>0</v>
      </c>
      <c r="AE503" s="1">
        <f t="shared" si="757"/>
        <v>17.704748734032336</v>
      </c>
    </row>
    <row r="504" spans="1:31" ht="13.5" customHeight="1">
      <c r="A504" s="1">
        <v>5</v>
      </c>
      <c r="B504" s="3">
        <f t="shared" si="731"/>
        <v>1000</v>
      </c>
      <c r="C504" s="1">
        <f t="shared" si="732"/>
        <v>3.0918395293014E-2</v>
      </c>
      <c r="D504" s="1">
        <f t="shared" si="701"/>
        <v>0.85806205917104394</v>
      </c>
      <c r="E504" s="1">
        <f t="shared" si="733"/>
        <v>74.120002384849926</v>
      </c>
      <c r="F504" s="1">
        <f t="shared" si="734"/>
        <v>20</v>
      </c>
      <c r="G504" s="1">
        <f t="shared" si="735"/>
        <v>997.52213902782967</v>
      </c>
      <c r="H504" s="1">
        <f t="shared" si="736"/>
        <v>66.438320688686133</v>
      </c>
      <c r="I504" s="1">
        <f t="shared" si="737"/>
        <v>194.05923053696444</v>
      </c>
      <c r="J504" s="3">
        <f t="shared" si="738"/>
        <v>22.360679774997898</v>
      </c>
      <c r="K504" s="47">
        <f t="shared" si="739"/>
        <v>0.17753443565220359</v>
      </c>
      <c r="L504" s="3">
        <f t="shared" si="740"/>
        <v>3</v>
      </c>
      <c r="M504" s="47">
        <f t="shared" si="741"/>
        <v>0.45231703350879887</v>
      </c>
      <c r="N504" s="47">
        <f t="shared" si="742"/>
        <v>447.97092470963776</v>
      </c>
      <c r="O504" s="1">
        <f t="shared" si="743"/>
        <v>0.99692715753277161</v>
      </c>
      <c r="P504" s="1">
        <f t="shared" si="744"/>
        <v>6.6325160844106072</v>
      </c>
      <c r="Q504" s="1">
        <f t="shared" si="745"/>
        <v>74.286817222221032</v>
      </c>
      <c r="R504" s="1">
        <f t="shared" si="746"/>
        <v>74.120002384849926</v>
      </c>
      <c r="S504" s="47">
        <f t="shared" si="747"/>
        <v>124.38458764659251</v>
      </c>
      <c r="T504" s="1">
        <f t="shared" si="748"/>
        <v>66.560852357546437</v>
      </c>
      <c r="U504" s="47">
        <f t="shared" si="749"/>
        <v>66.417778193111815</v>
      </c>
      <c r="V504" s="47">
        <f t="shared" si="750"/>
        <v>106.68248236510527</v>
      </c>
      <c r="W504" s="2">
        <f t="shared" si="702"/>
        <v>997.53213902782966</v>
      </c>
      <c r="X504" s="1">
        <f t="shared" si="751"/>
        <v>111.30622305485041</v>
      </c>
      <c r="Y504" s="1">
        <f t="shared" si="752"/>
        <v>13.846223343399553</v>
      </c>
      <c r="Z504" s="2">
        <f t="shared" si="753"/>
        <v>4.2130736073171491</v>
      </c>
      <c r="AA504" s="3">
        <f t="shared" si="754"/>
        <v>1000</v>
      </c>
      <c r="AB504" s="1">
        <f t="shared" si="671"/>
        <v>2.4739663772392895E-3</v>
      </c>
      <c r="AC504" s="1">
        <f t="shared" si="758"/>
        <v>0</v>
      </c>
      <c r="AD504" s="64">
        <f t="shared" si="672"/>
        <v>0</v>
      </c>
      <c r="AE504" s="1">
        <f t="shared" si="757"/>
        <v>17.704748734032336</v>
      </c>
    </row>
    <row r="505" spans="1:31" ht="13.5" customHeight="1">
      <c r="A505" s="1">
        <v>6</v>
      </c>
      <c r="B505" s="3">
        <f t="shared" si="731"/>
        <v>1000</v>
      </c>
      <c r="C505" s="1">
        <f t="shared" si="732"/>
        <v>2.9520375752753524E-2</v>
      </c>
      <c r="D505" s="1">
        <f t="shared" si="701"/>
        <v>0.85170569342758518</v>
      </c>
      <c r="E505" s="1">
        <f t="shared" si="733"/>
        <v>74.286817222221032</v>
      </c>
      <c r="F505" s="1">
        <f t="shared" si="734"/>
        <v>20</v>
      </c>
      <c r="G505" s="1">
        <f t="shared" si="735"/>
        <v>998.13671164119921</v>
      </c>
      <c r="H505" s="1">
        <f t="shared" si="736"/>
        <v>66.236391306228342</v>
      </c>
      <c r="I505" s="1">
        <f t="shared" si="737"/>
        <v>203.24944540857842</v>
      </c>
      <c r="J505" s="3">
        <f t="shared" si="738"/>
        <v>24.494897427831781</v>
      </c>
      <c r="K505" s="47">
        <f t="shared" si="739"/>
        <v>0.2070548114049571</v>
      </c>
      <c r="L505" s="3">
        <f t="shared" si="740"/>
        <v>3</v>
      </c>
      <c r="M505" s="47">
        <f t="shared" si="741"/>
        <v>0.43960681826954801</v>
      </c>
      <c r="N505" s="47">
        <f t="shared" si="742"/>
        <v>378.7189518432794</v>
      </c>
      <c r="O505" s="1">
        <f t="shared" si="743"/>
        <v>0.99713413671019968</v>
      </c>
      <c r="P505" s="1">
        <f t="shared" si="744"/>
        <v>6.8242799595536052</v>
      </c>
      <c r="Q505" s="1">
        <f t="shared" si="745"/>
        <v>74.442842967273307</v>
      </c>
      <c r="R505" s="1">
        <f t="shared" si="746"/>
        <v>74.286817222221032</v>
      </c>
      <c r="S505" s="47">
        <f t="shared" si="747"/>
        <v>135.68470110768766</v>
      </c>
      <c r="T505" s="1">
        <f t="shared" si="748"/>
        <v>66.391917364179179</v>
      </c>
      <c r="U505" s="47">
        <f t="shared" si="749"/>
        <v>66.25896447126172</v>
      </c>
      <c r="V505" s="47">
        <f t="shared" si="750"/>
        <v>115.61985190881843</v>
      </c>
      <c r="W505" s="2">
        <f t="shared" si="702"/>
        <v>998.1467116411992</v>
      </c>
      <c r="X505" s="1">
        <f t="shared" si="751"/>
        <v>106.27335270991269</v>
      </c>
      <c r="Y505" s="1">
        <f t="shared" si="752"/>
        <v>14.742165192818828</v>
      </c>
      <c r="Z505" s="2">
        <f t="shared" si="753"/>
        <v>4.0917174828223821</v>
      </c>
      <c r="AA505" s="3">
        <f t="shared" si="754"/>
        <v>1000</v>
      </c>
      <c r="AB505" s="1">
        <f t="shared" si="671"/>
        <v>1.8567294138087664E-3</v>
      </c>
      <c r="AC505" s="1">
        <f t="shared" si="758"/>
        <v>0</v>
      </c>
      <c r="AD505" s="64">
        <f t="shared" si="672"/>
        <v>0</v>
      </c>
      <c r="AE505" s="1">
        <f t="shared" si="757"/>
        <v>17.704748734032336</v>
      </c>
    </row>
    <row r="506" spans="1:31" ht="13.5" customHeight="1">
      <c r="A506" s="1">
        <v>7</v>
      </c>
      <c r="B506" s="3">
        <f t="shared" si="731"/>
        <v>1000</v>
      </c>
      <c r="C506" s="1">
        <f t="shared" si="732"/>
        <v>2.8310564867208884E-2</v>
      </c>
      <c r="D506" s="1">
        <f t="shared" si="701"/>
        <v>0.84573017977909959</v>
      </c>
      <c r="E506" s="1">
        <f t="shared" si="733"/>
        <v>74.442842967273307</v>
      </c>
      <c r="F506" s="1">
        <f t="shared" si="734"/>
        <v>20</v>
      </c>
      <c r="G506" s="1">
        <f t="shared" si="735"/>
        <v>998.66445891976321</v>
      </c>
      <c r="H506" s="1">
        <f t="shared" si="736"/>
        <v>66.043955370397342</v>
      </c>
      <c r="I506" s="1">
        <f t="shared" si="737"/>
        <v>211.93501536062905</v>
      </c>
      <c r="J506" s="3">
        <f t="shared" si="738"/>
        <v>26.457513110645905</v>
      </c>
      <c r="K506" s="47">
        <f t="shared" si="739"/>
        <v>0.23536537627216597</v>
      </c>
      <c r="L506" s="3">
        <f t="shared" si="740"/>
        <v>3</v>
      </c>
      <c r="M506" s="47">
        <f t="shared" si="741"/>
        <v>0.42832643543615284</v>
      </c>
      <c r="N506" s="47">
        <f t="shared" si="742"/>
        <v>327.45073361394253</v>
      </c>
      <c r="O506" s="1">
        <f t="shared" si="743"/>
        <v>0.99729188403972469</v>
      </c>
      <c r="P506" s="1">
        <f t="shared" si="744"/>
        <v>7.004003843342482</v>
      </c>
      <c r="Q506" s="1">
        <f t="shared" si="745"/>
        <v>74.590680861396351</v>
      </c>
      <c r="R506" s="1">
        <f t="shared" si="746"/>
        <v>74.442842967273307</v>
      </c>
      <c r="S506" s="47">
        <f t="shared" si="747"/>
        <v>146.14287062573015</v>
      </c>
      <c r="T506" s="1">
        <f t="shared" si="748"/>
        <v>66.233102429896633</v>
      </c>
      <c r="U506" s="47">
        <f t="shared" si="749"/>
        <v>66.107897827313195</v>
      </c>
      <c r="V506" s="47">
        <f t="shared" si="750"/>
        <v>123.76907927185154</v>
      </c>
      <c r="W506" s="2">
        <f t="shared" si="702"/>
        <v>998.6744589197632</v>
      </c>
      <c r="X506" s="1">
        <f t="shared" si="751"/>
        <v>101.91803352195198</v>
      </c>
      <c r="Y506" s="1">
        <f t="shared" si="752"/>
        <v>15.499603096505387</v>
      </c>
      <c r="Z506" s="2">
        <f t="shared" si="753"/>
        <v>3.987126688821959</v>
      </c>
      <c r="AA506" s="3">
        <f t="shared" si="754"/>
        <v>1000</v>
      </c>
      <c r="AB506" s="1">
        <f t="shared" si="671"/>
        <v>1.327300471537729E-3</v>
      </c>
      <c r="AC506" s="1">
        <f t="shared" si="758"/>
        <v>0</v>
      </c>
      <c r="AD506" s="64">
        <f t="shared" si="672"/>
        <v>0</v>
      </c>
      <c r="AE506" s="1">
        <f t="shared" si="757"/>
        <v>17.704748734032336</v>
      </c>
    </row>
    <row r="507" spans="1:31" ht="13.5" customHeight="1">
      <c r="A507" s="1">
        <v>8</v>
      </c>
      <c r="B507" s="3">
        <f t="shared" si="731"/>
        <v>1000</v>
      </c>
      <c r="C507" s="1">
        <f t="shared" si="732"/>
        <v>2.7243168274428832E-2</v>
      </c>
      <c r="D507" s="1">
        <f t="shared" si="701"/>
        <v>0.84004627237310647</v>
      </c>
      <c r="E507" s="1">
        <f t="shared" si="733"/>
        <v>74.590680861396351</v>
      </c>
      <c r="F507" s="1">
        <f t="shared" si="734"/>
        <v>20</v>
      </c>
      <c r="G507" s="1">
        <f t="shared" si="735"/>
        <v>999.12489366993407</v>
      </c>
      <c r="H507" s="1">
        <f t="shared" si="736"/>
        <v>65.858697963925891</v>
      </c>
      <c r="I507" s="1">
        <f t="shared" si="737"/>
        <v>220.23870129788688</v>
      </c>
      <c r="J507" s="3">
        <f t="shared" si="738"/>
        <v>28.284271247461902</v>
      </c>
      <c r="K507" s="47">
        <f t="shared" si="739"/>
        <v>0.26260854454659482</v>
      </c>
      <c r="L507" s="3">
        <f t="shared" si="740"/>
        <v>3</v>
      </c>
      <c r="M507" s="47">
        <f t="shared" si="741"/>
        <v>0.41816647220795344</v>
      </c>
      <c r="N507" s="47">
        <f t="shared" si="742"/>
        <v>287.9002919468976</v>
      </c>
      <c r="O507" s="1">
        <f t="shared" si="743"/>
        <v>0.99741685752799591</v>
      </c>
      <c r="P507" s="1">
        <f t="shared" si="744"/>
        <v>7.1741763134661483</v>
      </c>
      <c r="Q507" s="1">
        <f t="shared" si="745"/>
        <v>74.732061574229078</v>
      </c>
      <c r="R507" s="1">
        <f t="shared" si="746"/>
        <v>74.590680861396351</v>
      </c>
      <c r="S507" s="47">
        <f t="shared" si="747"/>
        <v>155.93668954065018</v>
      </c>
      <c r="T507" s="1">
        <f t="shared" si="748"/>
        <v>66.082045683682651</v>
      </c>
      <c r="U507" s="47">
        <f t="shared" si="749"/>
        <v>65.963009194280289</v>
      </c>
      <c r="V507" s="47">
        <f t="shared" si="750"/>
        <v>131.29199676553014</v>
      </c>
      <c r="W507" s="2">
        <f t="shared" si="702"/>
        <v>999.13489366993406</v>
      </c>
      <c r="X507" s="1">
        <f t="shared" si="751"/>
        <v>98.075405787943794</v>
      </c>
      <c r="Y507" s="1">
        <f t="shared" si="752"/>
        <v>16.154504563733273</v>
      </c>
      <c r="Z507" s="2">
        <f t="shared" si="753"/>
        <v>3.8946878513040999</v>
      </c>
      <c r="AA507" s="3">
        <f t="shared" si="754"/>
        <v>1000</v>
      </c>
      <c r="AB507" s="1">
        <f t="shared" si="671"/>
        <v>8.6585538704220255E-4</v>
      </c>
      <c r="AC507" s="1">
        <f t="shared" si="758"/>
        <v>0</v>
      </c>
      <c r="AD507" s="64">
        <f t="shared" si="672"/>
        <v>0</v>
      </c>
      <c r="AE507" s="1">
        <f t="shared" si="757"/>
        <v>17.704748734032336</v>
      </c>
    </row>
    <row r="508" spans="1:31" ht="13.5" customHeight="1">
      <c r="A508" s="1">
        <v>9</v>
      </c>
      <c r="B508" s="3">
        <f t="shared" si="731"/>
        <v>1000</v>
      </c>
      <c r="C508" s="1">
        <f t="shared" si="732"/>
        <v>2.6287896015513082E-2</v>
      </c>
      <c r="D508" s="1">
        <f t="shared" si="701"/>
        <v>0.83459471040009248</v>
      </c>
      <c r="E508" s="1">
        <f t="shared" si="733"/>
        <v>74.732061574229078</v>
      </c>
      <c r="F508" s="1">
        <f t="shared" si="734"/>
        <v>20</v>
      </c>
      <c r="G508" s="1">
        <f t="shared" si="735"/>
        <v>999.53111824483335</v>
      </c>
      <c r="H508" s="1">
        <f t="shared" si="736"/>
        <v>65.67908907914375</v>
      </c>
      <c r="I508" s="1">
        <f t="shared" si="737"/>
        <v>228.24192535071137</v>
      </c>
      <c r="J508" s="3">
        <f t="shared" si="738"/>
        <v>30</v>
      </c>
      <c r="K508" s="47">
        <f t="shared" si="739"/>
        <v>0.28889644056210789</v>
      </c>
      <c r="L508" s="3">
        <f t="shared" si="740"/>
        <v>3</v>
      </c>
      <c r="M508" s="47">
        <f t="shared" si="741"/>
        <v>0.40891215932357805</v>
      </c>
      <c r="N508" s="47">
        <f t="shared" si="742"/>
        <v>256.43313779103829</v>
      </c>
      <c r="O508" s="1">
        <f t="shared" si="743"/>
        <v>0.99751875273252144</v>
      </c>
      <c r="P508" s="1">
        <f t="shared" si="744"/>
        <v>7.3365389891134472</v>
      </c>
      <c r="Q508" s="1">
        <f t="shared" si="745"/>
        <v>74.86820315337485</v>
      </c>
      <c r="R508" s="1">
        <f t="shared" si="746"/>
        <v>74.732061574229078</v>
      </c>
      <c r="S508" s="47">
        <f t="shared" si="747"/>
        <v>165.18943403641305</v>
      </c>
      <c r="T508" s="1">
        <f t="shared" si="748"/>
        <v>65.937174114938699</v>
      </c>
      <c r="U508" s="47">
        <f t="shared" si="749"/>
        <v>65.823192627190323</v>
      </c>
      <c r="V508" s="47">
        <f t="shared" si="750"/>
        <v>138.30115362201616</v>
      </c>
      <c r="W508" s="2">
        <f t="shared" si="702"/>
        <v>999.54111824483334</v>
      </c>
      <c r="X508" s="1">
        <f t="shared" si="751"/>
        <v>94.636425655847091</v>
      </c>
      <c r="Y508" s="1">
        <f t="shared" si="752"/>
        <v>16.730305147627067</v>
      </c>
      <c r="Z508" s="2">
        <f t="shared" si="753"/>
        <v>3.8115030322691728</v>
      </c>
      <c r="AA508" s="3">
        <f t="shared" si="754"/>
        <v>1000</v>
      </c>
      <c r="AB508" s="1">
        <f t="shared" si="671"/>
        <v>4.5909242430419717E-4</v>
      </c>
      <c r="AC508" s="1">
        <f t="shared" si="758"/>
        <v>0</v>
      </c>
      <c r="AD508" s="64">
        <f t="shared" si="672"/>
        <v>0</v>
      </c>
      <c r="AE508" s="1">
        <f t="shared" si="757"/>
        <v>17.704748734032336</v>
      </c>
    </row>
    <row r="509" spans="1:31" ht="13.5" customHeight="1">
      <c r="A509" s="1">
        <v>10</v>
      </c>
      <c r="B509" s="3">
        <f t="shared" si="731"/>
        <v>1000</v>
      </c>
      <c r="C509" s="1">
        <f t="shared" si="732"/>
        <v>2.5423537790594287E-2</v>
      </c>
      <c r="D509" s="1">
        <f t="shared" si="701"/>
        <v>0.82933389446632855</v>
      </c>
      <c r="E509" s="1">
        <f t="shared" si="733"/>
        <v>74.86820315337485</v>
      </c>
      <c r="F509" s="1">
        <f t="shared" si="734"/>
        <v>20</v>
      </c>
      <c r="G509" s="1">
        <f t="shared" si="735"/>
        <v>999.89245436547299</v>
      </c>
      <c r="H509" s="1">
        <f t="shared" si="736"/>
        <v>65.504060603558059</v>
      </c>
      <c r="I509" s="1">
        <f t="shared" si="737"/>
        <v>236.00177321583328</v>
      </c>
      <c r="J509" s="3">
        <f t="shared" si="738"/>
        <v>31.622776601683793</v>
      </c>
      <c r="K509" s="47">
        <f t="shared" si="739"/>
        <v>0.3143199783527022</v>
      </c>
      <c r="L509" s="3">
        <f t="shared" si="740"/>
        <v>3</v>
      </c>
      <c r="M509" s="47">
        <f t="shared" si="741"/>
        <v>0.40040761573592637</v>
      </c>
      <c r="N509" s="47">
        <f t="shared" si="742"/>
        <v>230.7886554115953</v>
      </c>
      <c r="O509" s="1">
        <f t="shared" si="743"/>
        <v>0.99760369369772461</v>
      </c>
      <c r="P509" s="1">
        <f t="shared" si="744"/>
        <v>7.4923649853316876</v>
      </c>
      <c r="Q509" s="1">
        <f t="shared" si="745"/>
        <v>75</v>
      </c>
      <c r="R509" s="1">
        <f t="shared" si="746"/>
        <v>74.86820315337485</v>
      </c>
      <c r="S509" s="47">
        <f t="shared" si="747"/>
        <v>173.9908043083156</v>
      </c>
      <c r="T509" s="1">
        <f t="shared" si="748"/>
        <v>65.797379870694456</v>
      </c>
      <c r="U509" s="47">
        <f t="shared" si="749"/>
        <v>65.687635320682602</v>
      </c>
      <c r="V509" s="47">
        <f t="shared" si="750"/>
        <v>144.87859925301075</v>
      </c>
      <c r="W509" s="2">
        <f t="shared" si="702"/>
        <v>999.90245436547298</v>
      </c>
      <c r="X509" s="1">
        <f t="shared" si="751"/>
        <v>91.524736046139438</v>
      </c>
      <c r="Y509" s="1">
        <f t="shared" si="752"/>
        <v>17.243171423209144</v>
      </c>
      <c r="Z509" s="2">
        <f t="shared" si="753"/>
        <v>3.7356276838620626</v>
      </c>
      <c r="AA509" s="3">
        <f t="shared" si="754"/>
        <v>1000</v>
      </c>
      <c r="AB509" s="1">
        <f t="shared" si="671"/>
        <v>9.7555150606165597E-5</v>
      </c>
      <c r="AC509" s="1">
        <f t="shared" si="758"/>
        <v>0</v>
      </c>
      <c r="AD509" s="64">
        <f t="shared" si="672"/>
        <v>0</v>
      </c>
      <c r="AE509" s="1">
        <f t="shared" si="757"/>
        <v>17.704748734032336</v>
      </c>
    </row>
    <row r="510" spans="1:31" ht="13.5" customHeight="1">
      <c r="K510" s="47"/>
      <c r="L510" s="47"/>
      <c r="M510" s="47"/>
      <c r="N510" s="47">
        <f>SUM(N500:N509)</f>
        <v>5852.3743670161675</v>
      </c>
      <c r="O510" s="2" t="s">
        <v>46</v>
      </c>
      <c r="P510" s="2"/>
      <c r="Q510" s="2"/>
      <c r="R510" s="49">
        <f>R490</f>
        <v>75</v>
      </c>
      <c r="S510" s="50" t="s">
        <v>45</v>
      </c>
      <c r="T510" s="2"/>
      <c r="U510" s="11">
        <f>U509</f>
        <v>65.687635320682602</v>
      </c>
      <c r="V510" s="47"/>
      <c r="W510" s="2"/>
      <c r="Y510" s="1">
        <f>N511</f>
        <v>17.704748734032336</v>
      </c>
      <c r="AE510" s="1">
        <f t="shared" si="757"/>
        <v>17.704748734032336</v>
      </c>
    </row>
    <row r="511" spans="1:31" ht="13.5" customHeight="1">
      <c r="K511" s="47"/>
      <c r="L511" s="2" t="s">
        <v>44</v>
      </c>
      <c r="M511" s="2"/>
      <c r="N511" s="47">
        <f>N510*2/1000+Y511</f>
        <v>17.704748734032336</v>
      </c>
      <c r="O511" s="2" t="s">
        <v>1</v>
      </c>
      <c r="P511" s="1">
        <f>SUM(P500:P509)</f>
        <v>66.626846090782394</v>
      </c>
      <c r="Q511" s="1" t="s">
        <v>43</v>
      </c>
      <c r="S511" s="47"/>
      <c r="U511" s="47"/>
      <c r="V511" s="47"/>
      <c r="W511" s="2"/>
      <c r="Y511" s="3">
        <f>Y491</f>
        <v>6</v>
      </c>
      <c r="Z511" s="3" t="s">
        <v>42</v>
      </c>
      <c r="AE511" s="1">
        <f>N511</f>
        <v>17.704748734032336</v>
      </c>
    </row>
    <row r="512" spans="1:31" ht="13.5" customHeight="1">
      <c r="L512" s="60" t="s">
        <v>41</v>
      </c>
      <c r="N512" s="3">
        <f>N492</f>
        <v>15</v>
      </c>
      <c r="O512" s="1" t="s">
        <v>1</v>
      </c>
    </row>
    <row r="515" spans="1:31" ht="13.5" customHeight="1" thickBot="1"/>
    <row r="516" spans="1:31" ht="13.5" customHeight="1">
      <c r="B516" s="14" t="s">
        <v>40</v>
      </c>
      <c r="C516" s="15"/>
      <c r="D516" s="15"/>
      <c r="E516" s="15"/>
      <c r="F516" s="15"/>
      <c r="G516" s="15"/>
      <c r="H516" s="15" t="s">
        <v>39</v>
      </c>
      <c r="I516" s="16"/>
      <c r="J516" s="14" t="s">
        <v>38</v>
      </c>
      <c r="K516" s="15"/>
      <c r="L516" s="15"/>
      <c r="M516" s="15"/>
      <c r="N516" s="15" t="s">
        <v>37</v>
      </c>
      <c r="O516" s="15"/>
      <c r="P516" s="15"/>
      <c r="Q516" s="15"/>
      <c r="R516" s="15"/>
      <c r="S516" s="16"/>
      <c r="T516" s="14" t="s">
        <v>36</v>
      </c>
      <c r="U516" s="15"/>
      <c r="V516" s="16"/>
      <c r="W516" s="14"/>
      <c r="X516" s="15"/>
      <c r="Y516" s="15"/>
      <c r="Z516" s="16"/>
    </row>
    <row r="517" spans="1:31" ht="13.5" customHeight="1">
      <c r="B517" s="17" t="s">
        <v>35</v>
      </c>
      <c r="C517" s="18" t="s">
        <v>22</v>
      </c>
      <c r="D517" s="18"/>
      <c r="E517" s="18" t="s">
        <v>34</v>
      </c>
      <c r="F517" s="18" t="s">
        <v>33</v>
      </c>
      <c r="G517" s="18" t="s">
        <v>7</v>
      </c>
      <c r="H517" s="18" t="s">
        <v>32</v>
      </c>
      <c r="I517" s="19" t="s">
        <v>22</v>
      </c>
      <c r="J517" s="17" t="s">
        <v>31</v>
      </c>
      <c r="K517" s="18"/>
      <c r="L517" s="18" t="s">
        <v>30</v>
      </c>
      <c r="M517" s="18"/>
      <c r="N517" s="18" t="s">
        <v>29</v>
      </c>
      <c r="O517" s="18"/>
      <c r="P517" s="18" t="s">
        <v>28</v>
      </c>
      <c r="Q517" s="20" t="s">
        <v>27</v>
      </c>
      <c r="R517" s="21" t="s">
        <v>26</v>
      </c>
      <c r="S517" s="22" t="s">
        <v>7</v>
      </c>
      <c r="T517" s="23" t="s">
        <v>25</v>
      </c>
      <c r="U517" s="24" t="s">
        <v>24</v>
      </c>
      <c r="V517" s="25" t="s">
        <v>7</v>
      </c>
      <c r="W517" s="26" t="s">
        <v>23</v>
      </c>
      <c r="X517" s="4" t="s">
        <v>22</v>
      </c>
      <c r="Y517" s="4" t="s">
        <v>21</v>
      </c>
      <c r="Z517" s="5" t="s">
        <v>20</v>
      </c>
    </row>
    <row r="518" spans="1:31" ht="13.5" customHeight="1">
      <c r="B518" s="54" t="s">
        <v>3</v>
      </c>
      <c r="C518" s="28" t="s">
        <v>17</v>
      </c>
      <c r="D518" s="20" t="s">
        <v>13</v>
      </c>
      <c r="E518" s="20" t="s">
        <v>19</v>
      </c>
      <c r="F518" s="28" t="s">
        <v>19</v>
      </c>
      <c r="G518" s="20" t="s">
        <v>3</v>
      </c>
      <c r="H518" s="20" t="s">
        <v>19</v>
      </c>
      <c r="I518" s="29" t="s">
        <v>12</v>
      </c>
      <c r="J518" s="55" t="s">
        <v>18</v>
      </c>
      <c r="K518" s="20" t="s">
        <v>17</v>
      </c>
      <c r="L518" s="56" t="s">
        <v>16</v>
      </c>
      <c r="M518" s="20" t="s">
        <v>15</v>
      </c>
      <c r="N518" s="20" t="s">
        <v>14</v>
      </c>
      <c r="O518" s="20" t="s">
        <v>13</v>
      </c>
      <c r="P518" s="20" t="s">
        <v>12</v>
      </c>
      <c r="Q518" s="20" t="s">
        <v>11</v>
      </c>
      <c r="R518" s="21" t="s">
        <v>11</v>
      </c>
      <c r="S518" s="22" t="s">
        <v>10</v>
      </c>
      <c r="T518" s="23" t="s">
        <v>9</v>
      </c>
      <c r="U518" s="24" t="s">
        <v>9</v>
      </c>
      <c r="V518" s="33" t="s">
        <v>8</v>
      </c>
      <c r="W518" s="34" t="s">
        <v>7</v>
      </c>
      <c r="X518" s="4" t="s">
        <v>6</v>
      </c>
      <c r="Y518" s="6" t="s">
        <v>5</v>
      </c>
      <c r="Z518" s="7" t="s">
        <v>5</v>
      </c>
    </row>
    <row r="519" spans="1:31" ht="13.5" customHeight="1" thickBot="1">
      <c r="B519" s="57"/>
      <c r="C519" s="3">
        <f>C499</f>
        <v>1.05</v>
      </c>
      <c r="D519" s="37"/>
      <c r="E519" s="38"/>
      <c r="F519" s="38"/>
      <c r="G519" s="37"/>
      <c r="H519" s="37"/>
      <c r="I519" s="39"/>
      <c r="J519" s="58" t="s">
        <v>4</v>
      </c>
      <c r="K519" s="44"/>
      <c r="L519" s="59"/>
      <c r="M519" s="37"/>
      <c r="N519" s="37"/>
      <c r="O519" s="37"/>
      <c r="P519" s="37"/>
      <c r="Q519" s="42"/>
      <c r="R519" s="42"/>
      <c r="S519" s="52" t="s">
        <v>3</v>
      </c>
      <c r="T519" s="43"/>
      <c r="U519" s="44"/>
      <c r="V519" s="39" t="s">
        <v>3</v>
      </c>
      <c r="W519" s="45" t="s">
        <v>3</v>
      </c>
      <c r="X519" s="8" t="s">
        <v>2</v>
      </c>
      <c r="Y519" s="9" t="s">
        <v>1</v>
      </c>
      <c r="Z519" s="13" t="s">
        <v>0</v>
      </c>
    </row>
    <row r="520" spans="1:31" ht="13.5" customHeight="1">
      <c r="A520" s="1">
        <v>1</v>
      </c>
      <c r="B520" s="3">
        <f t="shared" ref="B520:B529" si="759">B500</f>
        <v>1000</v>
      </c>
      <c r="C520" s="1">
        <f t="shared" ref="C520:C529" si="760">IF(B520&lt;1,0.000001,C500*(1+AB500))</f>
        <v>4.2284591969071986E-2</v>
      </c>
      <c r="D520" s="1">
        <f t="shared" si="701"/>
        <v>0.89477647351534806</v>
      </c>
      <c r="E520" s="1">
        <f t="shared" ref="E520:E529" si="761">R520</f>
        <v>73.15664814552288</v>
      </c>
      <c r="F520" s="1">
        <f t="shared" ref="F520:F529" si="762">F500</f>
        <v>20</v>
      </c>
      <c r="G520" s="1">
        <f t="shared" ref="G520:G529" si="763">(E520-F520)*C520*(1-D520)*4200</f>
        <v>993.34903793136766</v>
      </c>
      <c r="H520" s="1">
        <f t="shared" ref="H520:H529" si="764">(E520-F520)*D520+F520</f>
        <v>67.563318171547138</v>
      </c>
      <c r="I520" s="1">
        <f t="shared" ref="I520:I529" si="765">B520*0.001*6/C520</f>
        <v>141.89565798313842</v>
      </c>
      <c r="J520" s="3">
        <f t="shared" ref="J520:J529" si="766">J500</f>
        <v>10</v>
      </c>
      <c r="K520" s="47">
        <f t="shared" ref="K520:K529" si="767">K519+C520</f>
        <v>4.2284591969071986E-2</v>
      </c>
      <c r="L520" s="3">
        <f t="shared" ref="L520:L529" si="768">L500</f>
        <v>3</v>
      </c>
      <c r="M520" s="47">
        <f t="shared" ref="M520:M529" si="769">K520/(J520*J520*3.14/4000)</f>
        <v>0.53865722253594883</v>
      </c>
      <c r="N520" s="47">
        <f t="shared" ref="N520:N529" si="770">L520*26400/J520^1.27*M520^1.83*$N$69</f>
        <v>1713.7088777676208</v>
      </c>
      <c r="O520" s="1">
        <f t="shared" ref="O520:O529" si="771">EXP(-(J520+2)*3.14/1000*$O$66/(M520*J520*J520*3.14/4000*4200)*L520)</f>
        <v>0.99365518011652443</v>
      </c>
      <c r="P520" s="1">
        <f t="shared" ref="P520:P529" si="772">L520/M520</f>
        <v>5.5694045758381829</v>
      </c>
      <c r="Q520" s="1">
        <f t="shared" ref="Q520:Q529" si="773">R521</f>
        <v>73.496071081005468</v>
      </c>
      <c r="R520" s="1">
        <f t="shared" ref="R520:R529" si="774">(Q520-F520)*O520+F520</f>
        <v>73.15664814552288</v>
      </c>
      <c r="S520" s="47">
        <f t="shared" ref="S520:S529" si="775">K520*(1-O520)*4200*(Q520-F520)</f>
        <v>60.279913393668352</v>
      </c>
      <c r="T520" s="1">
        <f t="shared" ref="T520:T529" si="776">(U519*K519+H520*C520)/K520</f>
        <v>67.563318171547138</v>
      </c>
      <c r="U520" s="47">
        <f t="shared" ref="U520:U529" si="777">(T520-F520)*O520+F520</f>
        <v>67.261537484688233</v>
      </c>
      <c r="V520" s="47">
        <f t="shared" ref="V520:V529" si="778">K520*(1-O520)*4200*(T520-F520)</f>
        <v>53.594827473495755</v>
      </c>
      <c r="W520" s="2">
        <f t="shared" si="702"/>
        <v>993.35903793136765</v>
      </c>
      <c r="X520" s="1">
        <f t="shared" ref="X520:X529" si="779">C520*3600</f>
        <v>152.22453108865915</v>
      </c>
      <c r="Y520" s="1">
        <f t="shared" ref="Y520:Y529" si="780">Y521-2*N520/1000</f>
        <v>6.0000000000000053</v>
      </c>
      <c r="Z520" s="2">
        <f t="shared" ref="Z520:Z529" si="781">-1.1-1.8*LOG10(Y520/X520/X520)</f>
        <v>5.3562724710612226</v>
      </c>
      <c r="AA520" s="3">
        <f t="shared" ref="AA520:AA529" si="782">AA500</f>
        <v>1000</v>
      </c>
      <c r="AB520" s="1">
        <f t="shared" ref="AB520:AB583" si="783">((AA520/W520)-1)*AB$23+AC520+AD520</f>
        <v>6.6853592860662836E-3</v>
      </c>
      <c r="AC520" s="1">
        <f>((N532/N531)-1)*AB$24</f>
        <v>0</v>
      </c>
      <c r="AD520" s="64">
        <f t="shared" ref="AD520:AD583" si="784">(AC$21-(X520/1000/SQRT(Y520/104))*1000/B520)*AB$21</f>
        <v>0</v>
      </c>
      <c r="AE520" s="1">
        <f t="shared" ref="AE520:AE530" si="785">AE521</f>
        <v>17.826225389700834</v>
      </c>
    </row>
    <row r="521" spans="1:31" ht="13.5" customHeight="1">
      <c r="A521" s="1">
        <v>2</v>
      </c>
      <c r="B521" s="3">
        <f t="shared" si="759"/>
        <v>1000</v>
      </c>
      <c r="C521" s="1">
        <f t="shared" si="760"/>
        <v>3.7617500706462116E-2</v>
      </c>
      <c r="D521" s="1">
        <f t="shared" si="701"/>
        <v>0.88225677174510297</v>
      </c>
      <c r="E521" s="1">
        <f t="shared" si="761"/>
        <v>73.496071081005468</v>
      </c>
      <c r="F521" s="1">
        <f t="shared" si="762"/>
        <v>20</v>
      </c>
      <c r="G521" s="1">
        <f t="shared" si="763"/>
        <v>995.16949355762665</v>
      </c>
      <c r="H521" s="1">
        <f t="shared" si="764"/>
        <v>67.197270972974451</v>
      </c>
      <c r="I521" s="1">
        <f t="shared" si="765"/>
        <v>159.50022960906838</v>
      </c>
      <c r="J521" s="3">
        <f t="shared" si="766"/>
        <v>14.142135623730951</v>
      </c>
      <c r="K521" s="47">
        <f t="shared" si="767"/>
        <v>7.9902092675534109E-2</v>
      </c>
      <c r="L521" s="3">
        <f t="shared" si="768"/>
        <v>3</v>
      </c>
      <c r="M521" s="47">
        <f t="shared" si="769"/>
        <v>0.50893052659575855</v>
      </c>
      <c r="N521" s="47">
        <f t="shared" si="770"/>
        <v>994.64065122815282</v>
      </c>
      <c r="O521" s="1">
        <f t="shared" si="771"/>
        <v>0.99547914160266315</v>
      </c>
      <c r="P521" s="1">
        <f t="shared" si="772"/>
        <v>5.8947141961930054</v>
      </c>
      <c r="Q521" s="1">
        <f t="shared" si="773"/>
        <v>73.739017569850759</v>
      </c>
      <c r="R521" s="1">
        <f t="shared" si="774"/>
        <v>73.496071081005468</v>
      </c>
      <c r="S521" s="47">
        <f t="shared" si="775"/>
        <v>81.530118041031017</v>
      </c>
      <c r="T521" s="1">
        <f t="shared" si="776"/>
        <v>67.231281136339348</v>
      </c>
      <c r="U521" s="47">
        <f t="shared" si="777"/>
        <v>67.017755202397154</v>
      </c>
      <c r="V521" s="47">
        <f t="shared" si="778"/>
        <v>71.656909642413524</v>
      </c>
      <c r="W521" s="2">
        <f t="shared" si="702"/>
        <v>995.17949355762664</v>
      </c>
      <c r="X521" s="1">
        <f t="shared" si="779"/>
        <v>135.42300254326361</v>
      </c>
      <c r="Y521" s="1">
        <f t="shared" si="780"/>
        <v>9.427417755535247</v>
      </c>
      <c r="Z521" s="2">
        <f t="shared" si="781"/>
        <v>4.8201858246585463</v>
      </c>
      <c r="AA521" s="3">
        <f t="shared" si="782"/>
        <v>1000</v>
      </c>
      <c r="AB521" s="1">
        <f t="shared" si="783"/>
        <v>4.8438562827903819E-3</v>
      </c>
      <c r="AC521" s="1">
        <f t="shared" ref="AC521:AC529" si="786">AC520</f>
        <v>0</v>
      </c>
      <c r="AD521" s="64">
        <f t="shared" si="784"/>
        <v>0</v>
      </c>
      <c r="AE521" s="1">
        <f t="shared" si="785"/>
        <v>17.826225389700834</v>
      </c>
    </row>
    <row r="522" spans="1:31" ht="13.5" customHeight="1">
      <c r="A522" s="1">
        <v>3</v>
      </c>
      <c r="B522" s="3">
        <f t="shared" si="759"/>
        <v>1000</v>
      </c>
      <c r="C522" s="1">
        <f t="shared" si="760"/>
        <v>3.4785095896029024E-2</v>
      </c>
      <c r="D522" s="1">
        <f t="shared" si="701"/>
        <v>0.87310250700319303</v>
      </c>
      <c r="E522" s="1">
        <f t="shared" si="761"/>
        <v>73.739017569850759</v>
      </c>
      <c r="F522" s="1">
        <f t="shared" si="762"/>
        <v>20</v>
      </c>
      <c r="G522" s="1">
        <f t="shared" si="763"/>
        <v>996.28882763935928</v>
      </c>
      <c r="H522" s="1">
        <f t="shared" si="764"/>
        <v>66.919670964125345</v>
      </c>
      <c r="I522" s="1">
        <f t="shared" si="765"/>
        <v>172.48766592260407</v>
      </c>
      <c r="J522" s="3">
        <f t="shared" si="766"/>
        <v>17.320508075688775</v>
      </c>
      <c r="K522" s="47">
        <f t="shared" si="767"/>
        <v>0.11468718857156313</v>
      </c>
      <c r="L522" s="3">
        <f t="shared" si="768"/>
        <v>3</v>
      </c>
      <c r="M522" s="47">
        <f t="shared" si="769"/>
        <v>0.48699443130175413</v>
      </c>
      <c r="N522" s="47">
        <f t="shared" si="770"/>
        <v>709.30351004190175</v>
      </c>
      <c r="O522" s="1">
        <f t="shared" si="771"/>
        <v>0.99622875243292885</v>
      </c>
      <c r="P522" s="1">
        <f t="shared" si="772"/>
        <v>6.1602347114748088</v>
      </c>
      <c r="Q522" s="1">
        <f t="shared" si="773"/>
        <v>73.942447895237535</v>
      </c>
      <c r="R522" s="1">
        <f t="shared" si="774"/>
        <v>73.739017569850759</v>
      </c>
      <c r="S522" s="47">
        <f t="shared" si="775"/>
        <v>97.989578772992289</v>
      </c>
      <c r="T522" s="1">
        <f t="shared" si="776"/>
        <v>66.988005849599617</v>
      </c>
      <c r="U522" s="47">
        <f t="shared" si="777"/>
        <v>66.810802446857792</v>
      </c>
      <c r="V522" s="47">
        <f t="shared" si="778"/>
        <v>85.356432276253287</v>
      </c>
      <c r="W522" s="2">
        <f t="shared" si="702"/>
        <v>996.29882763935927</v>
      </c>
      <c r="X522" s="1">
        <f t="shared" si="779"/>
        <v>125.22634522570449</v>
      </c>
      <c r="Y522" s="1">
        <f t="shared" si="780"/>
        <v>11.416699057991552</v>
      </c>
      <c r="Z522" s="2">
        <f t="shared" si="781"/>
        <v>4.5481315447193591</v>
      </c>
      <c r="AA522" s="3">
        <f t="shared" si="782"/>
        <v>1000</v>
      </c>
      <c r="AB522" s="1">
        <f t="shared" si="783"/>
        <v>3.7149219269989597E-3</v>
      </c>
      <c r="AC522" s="1">
        <f t="shared" si="786"/>
        <v>0</v>
      </c>
      <c r="AD522" s="64">
        <f t="shared" si="784"/>
        <v>0</v>
      </c>
      <c r="AE522" s="1">
        <f t="shared" si="785"/>
        <v>17.826225389700834</v>
      </c>
    </row>
    <row r="523" spans="1:31" ht="13.5" customHeight="1">
      <c r="A523" s="1">
        <v>4</v>
      </c>
      <c r="B523" s="3">
        <f t="shared" si="759"/>
        <v>1000</v>
      </c>
      <c r="C523" s="1">
        <f t="shared" si="760"/>
        <v>3.2684199204632405E-2</v>
      </c>
      <c r="D523" s="1">
        <f t="shared" si="701"/>
        <v>0.86534254007397948</v>
      </c>
      <c r="E523" s="1">
        <f t="shared" si="761"/>
        <v>73.942447895237535</v>
      </c>
      <c r="F523" s="1">
        <f t="shared" si="762"/>
        <v>20</v>
      </c>
      <c r="G523" s="1">
        <f t="shared" si="763"/>
        <v>997.12179227007061</v>
      </c>
      <c r="H523" s="1">
        <f t="shared" si="764"/>
        <v>66.678694879473142</v>
      </c>
      <c r="I523" s="1">
        <f t="shared" si="765"/>
        <v>183.57494281669923</v>
      </c>
      <c r="J523" s="3">
        <f t="shared" si="766"/>
        <v>20</v>
      </c>
      <c r="K523" s="47">
        <f t="shared" si="767"/>
        <v>0.14737138777619552</v>
      </c>
      <c r="L523" s="3">
        <f t="shared" si="768"/>
        <v>3</v>
      </c>
      <c r="M523" s="47">
        <f t="shared" si="769"/>
        <v>0.46933562986049526</v>
      </c>
      <c r="N523" s="47">
        <f t="shared" si="770"/>
        <v>552.2579178161352</v>
      </c>
      <c r="O523" s="1">
        <f t="shared" si="771"/>
        <v>0.99665740106162326</v>
      </c>
      <c r="P523" s="1">
        <f t="shared" si="772"/>
        <v>6.3920141773419505</v>
      </c>
      <c r="Q523" s="1">
        <f t="shared" si="773"/>
        <v>74.123360582863199</v>
      </c>
      <c r="R523" s="1">
        <f t="shared" si="774"/>
        <v>73.942447895237535</v>
      </c>
      <c r="S523" s="47">
        <f t="shared" si="775"/>
        <v>111.97768613520245</v>
      </c>
      <c r="T523" s="1">
        <f t="shared" si="776"/>
        <v>66.78150347563961</v>
      </c>
      <c r="U523" s="47">
        <f t="shared" si="777"/>
        <v>66.625131671786278</v>
      </c>
      <c r="V523" s="47">
        <f t="shared" si="778"/>
        <v>96.787864920322207</v>
      </c>
      <c r="W523" s="2">
        <f t="shared" si="702"/>
        <v>997.1317922700706</v>
      </c>
      <c r="X523" s="1">
        <f t="shared" si="779"/>
        <v>117.66311713667666</v>
      </c>
      <c r="Y523" s="1">
        <f t="shared" si="780"/>
        <v>12.835306078075355</v>
      </c>
      <c r="Z523" s="2">
        <f t="shared" si="781"/>
        <v>4.3591740451715832</v>
      </c>
      <c r="AA523" s="3">
        <f t="shared" si="782"/>
        <v>1000</v>
      </c>
      <c r="AB523" s="1">
        <f t="shared" si="783"/>
        <v>2.8764580090256953E-3</v>
      </c>
      <c r="AC523" s="1">
        <f t="shared" si="786"/>
        <v>0</v>
      </c>
      <c r="AD523" s="64">
        <f t="shared" si="784"/>
        <v>0</v>
      </c>
      <c r="AE523" s="1">
        <f t="shared" si="785"/>
        <v>17.826225389700834</v>
      </c>
    </row>
    <row r="524" spans="1:31" ht="13.5" customHeight="1">
      <c r="A524" s="1">
        <v>5</v>
      </c>
      <c r="B524" s="3">
        <f t="shared" si="759"/>
        <v>1000</v>
      </c>
      <c r="C524" s="1">
        <f t="shared" si="760"/>
        <v>3.0994886363407109E-2</v>
      </c>
      <c r="D524" s="1">
        <f t="shared" si="701"/>
        <v>0.85838321694933883</v>
      </c>
      <c r="E524" s="1">
        <f t="shared" si="761"/>
        <v>74.123360582863199</v>
      </c>
      <c r="F524" s="1">
        <f t="shared" si="762"/>
        <v>20</v>
      </c>
      <c r="G524" s="1">
        <f t="shared" si="763"/>
        <v>997.78924451889895</v>
      </c>
      <c r="H524" s="1">
        <f t="shared" si="764"/>
        <v>66.458584369227154</v>
      </c>
      <c r="I524" s="1">
        <f t="shared" si="765"/>
        <v>193.58031933563285</v>
      </c>
      <c r="J524" s="3">
        <f t="shared" si="766"/>
        <v>22.360679774997898</v>
      </c>
      <c r="K524" s="47">
        <f t="shared" si="767"/>
        <v>0.17836627413960263</v>
      </c>
      <c r="L524" s="3">
        <f t="shared" si="768"/>
        <v>3</v>
      </c>
      <c r="M524" s="47">
        <f t="shared" si="769"/>
        <v>0.4544363672346563</v>
      </c>
      <c r="N524" s="47">
        <f t="shared" si="770"/>
        <v>451.81950683906189</v>
      </c>
      <c r="O524" s="1">
        <f t="shared" si="771"/>
        <v>0.99694146626725255</v>
      </c>
      <c r="P524" s="1">
        <f t="shared" si="772"/>
        <v>6.6015843279789639</v>
      </c>
      <c r="Q524" s="1">
        <f t="shared" si="773"/>
        <v>74.289406564170548</v>
      </c>
      <c r="R524" s="1">
        <f t="shared" si="774"/>
        <v>74.123360582863199</v>
      </c>
      <c r="S524" s="47">
        <f t="shared" si="775"/>
        <v>124.39141269091849</v>
      </c>
      <c r="T524" s="1">
        <f t="shared" si="776"/>
        <v>66.596190579969161</v>
      </c>
      <c r="U524" s="47">
        <f t="shared" si="777"/>
        <v>66.453674559262794</v>
      </c>
      <c r="V524" s="47">
        <f t="shared" si="778"/>
        <v>106.76421679810616</v>
      </c>
      <c r="W524" s="2">
        <f t="shared" si="702"/>
        <v>997.79924451889894</v>
      </c>
      <c r="X524" s="1">
        <f t="shared" si="779"/>
        <v>111.5815909082656</v>
      </c>
      <c r="Y524" s="1">
        <f t="shared" si="780"/>
        <v>13.939821913707625</v>
      </c>
      <c r="Z524" s="2">
        <f t="shared" si="781"/>
        <v>4.211670171182524</v>
      </c>
      <c r="AA524" s="3">
        <f t="shared" si="782"/>
        <v>1000</v>
      </c>
      <c r="AB524" s="1">
        <f t="shared" si="783"/>
        <v>2.2056094882716426E-3</v>
      </c>
      <c r="AC524" s="1">
        <f t="shared" si="786"/>
        <v>0</v>
      </c>
      <c r="AD524" s="64">
        <f t="shared" si="784"/>
        <v>0</v>
      </c>
      <c r="AE524" s="1">
        <f t="shared" si="785"/>
        <v>17.826225389700834</v>
      </c>
    </row>
    <row r="525" spans="1:31" ht="13.5" customHeight="1">
      <c r="A525" s="1">
        <v>6</v>
      </c>
      <c r="B525" s="3">
        <f t="shared" si="759"/>
        <v>1000</v>
      </c>
      <c r="C525" s="1">
        <f t="shared" si="760"/>
        <v>2.9575187102720349E-2</v>
      </c>
      <c r="D525" s="1">
        <f t="shared" si="701"/>
        <v>0.85195664178478336</v>
      </c>
      <c r="E525" s="1">
        <f t="shared" si="761"/>
        <v>74.289406564170548</v>
      </c>
      <c r="F525" s="1">
        <f t="shared" si="762"/>
        <v>20</v>
      </c>
      <c r="G525" s="1">
        <f t="shared" si="763"/>
        <v>998.34538272259226</v>
      </c>
      <c r="H525" s="1">
        <f t="shared" si="764"/>
        <v>66.252220500899512</v>
      </c>
      <c r="I525" s="1">
        <f t="shared" si="765"/>
        <v>202.87276557747001</v>
      </c>
      <c r="J525" s="3">
        <f t="shared" si="766"/>
        <v>24.494897427831781</v>
      </c>
      <c r="K525" s="47">
        <f t="shared" si="767"/>
        <v>0.20794146124232299</v>
      </c>
      <c r="L525" s="3">
        <f t="shared" si="768"/>
        <v>3</v>
      </c>
      <c r="M525" s="47">
        <f t="shared" si="769"/>
        <v>0.44148930200068576</v>
      </c>
      <c r="N525" s="47">
        <f t="shared" si="770"/>
        <v>381.69202680013376</v>
      </c>
      <c r="O525" s="1">
        <f t="shared" si="771"/>
        <v>0.99714633912593187</v>
      </c>
      <c r="P525" s="1">
        <f t="shared" si="772"/>
        <v>6.7951816417860567</v>
      </c>
      <c r="Q525" s="1">
        <f t="shared" si="773"/>
        <v>74.44477348405951</v>
      </c>
      <c r="R525" s="1">
        <f t="shared" si="774"/>
        <v>74.289406564170548</v>
      </c>
      <c r="S525" s="47">
        <f t="shared" si="775"/>
        <v>135.69034227180529</v>
      </c>
      <c r="T525" s="1">
        <f t="shared" si="776"/>
        <v>66.425022065271932</v>
      </c>
      <c r="U525" s="47">
        <f t="shared" si="777"/>
        <v>66.292540796226518</v>
      </c>
      <c r="V525" s="47">
        <f t="shared" si="778"/>
        <v>115.70306442467292</v>
      </c>
      <c r="W525" s="2">
        <f t="shared" si="702"/>
        <v>998.35538272259225</v>
      </c>
      <c r="X525" s="1">
        <f t="shared" si="779"/>
        <v>106.47067356979326</v>
      </c>
      <c r="Y525" s="1">
        <f t="shared" si="780"/>
        <v>14.843460927385749</v>
      </c>
      <c r="Z525" s="2">
        <f t="shared" si="781"/>
        <v>4.089264693151879</v>
      </c>
      <c r="AA525" s="3">
        <f t="shared" si="782"/>
        <v>1000</v>
      </c>
      <c r="AB525" s="1">
        <f t="shared" si="783"/>
        <v>1.6473264990295444E-3</v>
      </c>
      <c r="AC525" s="1">
        <f t="shared" si="786"/>
        <v>0</v>
      </c>
      <c r="AD525" s="64">
        <f t="shared" si="784"/>
        <v>0</v>
      </c>
      <c r="AE525" s="1">
        <f t="shared" si="785"/>
        <v>17.826225389700834</v>
      </c>
    </row>
    <row r="526" spans="1:31" ht="13.5" customHeight="1">
      <c r="A526" s="1">
        <v>7</v>
      </c>
      <c r="B526" s="3">
        <f t="shared" si="759"/>
        <v>1000</v>
      </c>
      <c r="C526" s="1">
        <f t="shared" si="760"/>
        <v>2.8348141493306632E-2</v>
      </c>
      <c r="D526" s="1">
        <f t="shared" si="701"/>
        <v>0.84591614278239224</v>
      </c>
      <c r="E526" s="1">
        <f t="shared" si="761"/>
        <v>74.44477348405951</v>
      </c>
      <c r="F526" s="1">
        <f t="shared" si="762"/>
        <v>20</v>
      </c>
      <c r="G526" s="1">
        <f t="shared" si="763"/>
        <v>998.81997527006945</v>
      </c>
      <c r="H526" s="1">
        <f t="shared" si="764"/>
        <v>66.055712780296687</v>
      </c>
      <c r="I526" s="1">
        <f t="shared" si="765"/>
        <v>211.65408679142789</v>
      </c>
      <c r="J526" s="3">
        <f t="shared" si="766"/>
        <v>26.457513110645905</v>
      </c>
      <c r="K526" s="47">
        <f t="shared" si="767"/>
        <v>0.23628960273562963</v>
      </c>
      <c r="L526" s="3">
        <f t="shared" si="768"/>
        <v>3</v>
      </c>
      <c r="M526" s="47">
        <f t="shared" si="769"/>
        <v>0.43000837622498567</v>
      </c>
      <c r="N526" s="47">
        <f t="shared" si="770"/>
        <v>329.80762668272712</v>
      </c>
      <c r="O526" s="1">
        <f t="shared" si="771"/>
        <v>0.99730246230263508</v>
      </c>
      <c r="P526" s="1">
        <f t="shared" si="772"/>
        <v>6.9766082845566784</v>
      </c>
      <c r="Q526" s="1">
        <f t="shared" si="773"/>
        <v>74.592037563362638</v>
      </c>
      <c r="R526" s="1">
        <f t="shared" si="774"/>
        <v>74.44477348405951</v>
      </c>
      <c r="S526" s="47">
        <f t="shared" si="775"/>
        <v>146.14727734221458</v>
      </c>
      <c r="T526" s="1">
        <f t="shared" si="776"/>
        <v>66.264128060213466</v>
      </c>
      <c r="U526" s="47">
        <f t="shared" si="777"/>
        <v>66.139328830735323</v>
      </c>
      <c r="V526" s="47">
        <f t="shared" si="778"/>
        <v>123.85279349143379</v>
      </c>
      <c r="W526" s="2">
        <f t="shared" si="702"/>
        <v>998.82997527006944</v>
      </c>
      <c r="X526" s="1">
        <f t="shared" si="779"/>
        <v>102.05330937590388</v>
      </c>
      <c r="Y526" s="1">
        <f t="shared" si="780"/>
        <v>15.606844980986017</v>
      </c>
      <c r="Z526" s="2">
        <f t="shared" si="781"/>
        <v>3.98381032318277</v>
      </c>
      <c r="AA526" s="3">
        <f t="shared" si="782"/>
        <v>1000</v>
      </c>
      <c r="AB526" s="1">
        <f t="shared" si="783"/>
        <v>1.1713952913900982E-3</v>
      </c>
      <c r="AC526" s="1">
        <f t="shared" si="786"/>
        <v>0</v>
      </c>
      <c r="AD526" s="64">
        <f t="shared" si="784"/>
        <v>0</v>
      </c>
      <c r="AE526" s="1">
        <f t="shared" si="785"/>
        <v>17.826225389700834</v>
      </c>
    </row>
    <row r="527" spans="1:31" ht="13.5" customHeight="1">
      <c r="A527" s="1">
        <v>8</v>
      </c>
      <c r="B527" s="3">
        <f t="shared" si="759"/>
        <v>1000</v>
      </c>
      <c r="C527" s="1">
        <f t="shared" si="760"/>
        <v>2.7266756918439345E-2</v>
      </c>
      <c r="D527" s="1">
        <f t="shared" si="701"/>
        <v>0.84017157424083011</v>
      </c>
      <c r="E527" s="1">
        <f t="shared" si="761"/>
        <v>74.592037563362638</v>
      </c>
      <c r="F527" s="1">
        <f t="shared" si="762"/>
        <v>20</v>
      </c>
      <c r="G527" s="1">
        <f t="shared" si="763"/>
        <v>999.23146850437536</v>
      </c>
      <c r="H527" s="1">
        <f t="shared" si="764"/>
        <v>65.866678140624913</v>
      </c>
      <c r="I527" s="1">
        <f t="shared" si="765"/>
        <v>220.04817140326855</v>
      </c>
      <c r="J527" s="3">
        <f t="shared" si="766"/>
        <v>28.284271247461902</v>
      </c>
      <c r="K527" s="47">
        <f t="shared" si="767"/>
        <v>0.26355635965406898</v>
      </c>
      <c r="L527" s="3">
        <f t="shared" si="768"/>
        <v>3</v>
      </c>
      <c r="M527" s="47">
        <f t="shared" si="769"/>
        <v>0.41967573193323077</v>
      </c>
      <c r="N527" s="47">
        <f t="shared" si="770"/>
        <v>289.80469052913963</v>
      </c>
      <c r="O527" s="1">
        <f t="shared" si="771"/>
        <v>0.99742613519407575</v>
      </c>
      <c r="P527" s="1">
        <f t="shared" si="772"/>
        <v>7.1483761669528505</v>
      </c>
      <c r="Q527" s="1">
        <f t="shared" si="773"/>
        <v>74.732912681038087</v>
      </c>
      <c r="R527" s="1">
        <f t="shared" si="774"/>
        <v>74.592037563362638</v>
      </c>
      <c r="S527" s="47">
        <f t="shared" si="775"/>
        <v>155.93983935759587</v>
      </c>
      <c r="T527" s="1">
        <f t="shared" si="776"/>
        <v>66.111121201442515</v>
      </c>
      <c r="U527" s="47">
        <f t="shared" si="777"/>
        <v>65.992437409420404</v>
      </c>
      <c r="V527" s="47">
        <f t="shared" si="778"/>
        <v>131.37544633619891</v>
      </c>
      <c r="W527" s="2">
        <f t="shared" si="702"/>
        <v>999.24146850437535</v>
      </c>
      <c r="X527" s="1">
        <f t="shared" si="779"/>
        <v>98.160324906381646</v>
      </c>
      <c r="Y527" s="1">
        <f t="shared" si="780"/>
        <v>16.26646023435147</v>
      </c>
      <c r="Z527" s="2">
        <f t="shared" si="781"/>
        <v>3.890642053489056</v>
      </c>
      <c r="AA527" s="3">
        <f t="shared" si="782"/>
        <v>1000</v>
      </c>
      <c r="AB527" s="1">
        <f t="shared" si="783"/>
        <v>7.5910730242201296E-4</v>
      </c>
      <c r="AC527" s="1">
        <f t="shared" si="786"/>
        <v>0</v>
      </c>
      <c r="AD527" s="64">
        <f t="shared" si="784"/>
        <v>0</v>
      </c>
      <c r="AE527" s="1">
        <f t="shared" si="785"/>
        <v>17.826225389700834</v>
      </c>
    </row>
    <row r="528" spans="1:31" ht="13.5" customHeight="1">
      <c r="A528" s="1">
        <v>9</v>
      </c>
      <c r="B528" s="3">
        <f t="shared" si="759"/>
        <v>1000</v>
      </c>
      <c r="C528" s="1">
        <f t="shared" si="760"/>
        <v>2.6299964589424702E-2</v>
      </c>
      <c r="D528" s="1">
        <f t="shared" si="701"/>
        <v>0.8346630709010544</v>
      </c>
      <c r="E528" s="1">
        <f t="shared" si="761"/>
        <v>74.732912681038087</v>
      </c>
      <c r="F528" s="1">
        <f t="shared" si="762"/>
        <v>20</v>
      </c>
      <c r="G528" s="1">
        <f t="shared" si="763"/>
        <v>999.592252486598</v>
      </c>
      <c r="H528" s="1">
        <f t="shared" si="764"/>
        <v>65.683540977714514</v>
      </c>
      <c r="I528" s="1">
        <f t="shared" si="765"/>
        <v>228.1371892954038</v>
      </c>
      <c r="J528" s="3">
        <f t="shared" si="766"/>
        <v>30</v>
      </c>
      <c r="K528" s="47">
        <f t="shared" si="767"/>
        <v>0.28985632424349367</v>
      </c>
      <c r="L528" s="3">
        <f t="shared" si="768"/>
        <v>3</v>
      </c>
      <c r="M528" s="47">
        <f t="shared" si="769"/>
        <v>0.41027080572327485</v>
      </c>
      <c r="N528" s="47">
        <f t="shared" si="770"/>
        <v>257.99448670689401</v>
      </c>
      <c r="O528" s="1">
        <f t="shared" si="771"/>
        <v>0.99752695942354941</v>
      </c>
      <c r="P528" s="1">
        <f t="shared" si="772"/>
        <v>7.312243421052683</v>
      </c>
      <c r="Q528" s="1">
        <f t="shared" si="773"/>
        <v>74.868604967495941</v>
      </c>
      <c r="R528" s="1">
        <f t="shared" si="774"/>
        <v>74.732912681038087</v>
      </c>
      <c r="S528" s="47">
        <f t="shared" si="775"/>
        <v>165.19132299965113</v>
      </c>
      <c r="T528" s="1">
        <f t="shared" si="776"/>
        <v>65.96440985046732</v>
      </c>
      <c r="U528" s="47">
        <f t="shared" si="777"/>
        <v>65.850737999834507</v>
      </c>
      <c r="V528" s="47">
        <f t="shared" si="778"/>
        <v>138.38372013640452</v>
      </c>
      <c r="W528" s="2">
        <f t="shared" si="702"/>
        <v>999.60225248659799</v>
      </c>
      <c r="X528" s="1">
        <f t="shared" si="779"/>
        <v>94.679872521928928</v>
      </c>
      <c r="Y528" s="1">
        <f t="shared" si="780"/>
        <v>16.84606961540975</v>
      </c>
      <c r="Z528" s="2">
        <f t="shared" si="781"/>
        <v>3.8068301283650787</v>
      </c>
      <c r="AA528" s="3">
        <f t="shared" si="782"/>
        <v>1000</v>
      </c>
      <c r="AB528" s="1">
        <f t="shared" si="783"/>
        <v>3.9790577943632499E-4</v>
      </c>
      <c r="AC528" s="1">
        <f t="shared" si="786"/>
        <v>0</v>
      </c>
      <c r="AD528" s="64">
        <f t="shared" si="784"/>
        <v>0</v>
      </c>
      <c r="AE528" s="1">
        <f t="shared" si="785"/>
        <v>17.826225389700834</v>
      </c>
    </row>
    <row r="529" spans="1:31" ht="13.5" customHeight="1">
      <c r="A529" s="1">
        <v>10</v>
      </c>
      <c r="B529" s="3">
        <f t="shared" si="759"/>
        <v>1000</v>
      </c>
      <c r="C529" s="1">
        <f t="shared" si="760"/>
        <v>2.5426017987652389E-2</v>
      </c>
      <c r="D529" s="1">
        <f t="shared" si="701"/>
        <v>0.82934860201898486</v>
      </c>
      <c r="E529" s="1">
        <f t="shared" si="761"/>
        <v>74.868604967495941</v>
      </c>
      <c r="F529" s="1">
        <f t="shared" si="762"/>
        <v>20</v>
      </c>
      <c r="G529" s="1">
        <f t="shared" si="763"/>
        <v>999.91114509235319</v>
      </c>
      <c r="H529" s="1">
        <f t="shared" si="764"/>
        <v>65.505200824524678</v>
      </c>
      <c r="I529" s="1">
        <f t="shared" si="765"/>
        <v>235.97875227311542</v>
      </c>
      <c r="J529" s="3">
        <f t="shared" si="766"/>
        <v>31.622776601683793</v>
      </c>
      <c r="K529" s="47">
        <f t="shared" si="767"/>
        <v>0.31528234223114604</v>
      </c>
      <c r="L529" s="3">
        <f t="shared" si="768"/>
        <v>3</v>
      </c>
      <c r="M529" s="47">
        <f t="shared" si="769"/>
        <v>0.40163355698235165</v>
      </c>
      <c r="N529" s="47">
        <f t="shared" si="770"/>
        <v>232.08340043864899</v>
      </c>
      <c r="O529" s="1">
        <f t="shared" si="771"/>
        <v>0.99761099940901721</v>
      </c>
      <c r="P529" s="1">
        <f t="shared" si="772"/>
        <v>7.4694953841514398</v>
      </c>
      <c r="Q529" s="1">
        <f t="shared" si="773"/>
        <v>75</v>
      </c>
      <c r="R529" s="1">
        <f t="shared" si="774"/>
        <v>74.868604967495941</v>
      </c>
      <c r="S529" s="47">
        <f t="shared" si="775"/>
        <v>173.99144114274546</v>
      </c>
      <c r="T529" s="1">
        <f t="shared" si="776"/>
        <v>65.822872073780246</v>
      </c>
      <c r="U529" s="47">
        <f t="shared" si="777"/>
        <v>65.713401205315449</v>
      </c>
      <c r="V529" s="47">
        <f t="shared" si="778"/>
        <v>144.959773625758</v>
      </c>
      <c r="W529" s="2">
        <f t="shared" si="702"/>
        <v>999.92114509235319</v>
      </c>
      <c r="X529" s="1">
        <f t="shared" si="779"/>
        <v>91.5336647555486</v>
      </c>
      <c r="Y529" s="1">
        <f t="shared" si="780"/>
        <v>17.362058588823537</v>
      </c>
      <c r="Z529" s="2">
        <f t="shared" si="781"/>
        <v>3.7304088710186991</v>
      </c>
      <c r="AA529" s="3">
        <f t="shared" si="782"/>
        <v>1000</v>
      </c>
      <c r="AB529" s="1">
        <f t="shared" si="783"/>
        <v>7.8861126233675805E-5</v>
      </c>
      <c r="AC529" s="1">
        <f t="shared" si="786"/>
        <v>0</v>
      </c>
      <c r="AD529" s="64">
        <f t="shared" si="784"/>
        <v>0</v>
      </c>
      <c r="AE529" s="1">
        <f t="shared" si="785"/>
        <v>17.826225389700834</v>
      </c>
    </row>
    <row r="530" spans="1:31" ht="13.5" customHeight="1">
      <c r="K530" s="47"/>
      <c r="L530" s="47"/>
      <c r="M530" s="47"/>
      <c r="N530" s="47">
        <f>SUM(N520:N529)</f>
        <v>5913.112694850417</v>
      </c>
      <c r="O530" s="2" t="s">
        <v>46</v>
      </c>
      <c r="P530" s="2"/>
      <c r="Q530" s="2"/>
      <c r="R530" s="49">
        <f>R510</f>
        <v>75</v>
      </c>
      <c r="S530" s="50" t="s">
        <v>45</v>
      </c>
      <c r="T530" s="2"/>
      <c r="U530" s="11">
        <f>U529</f>
        <v>65.713401205315449</v>
      </c>
      <c r="V530" s="47"/>
      <c r="W530" s="2"/>
      <c r="Y530" s="1">
        <f>N531</f>
        <v>17.826225389700834</v>
      </c>
      <c r="AE530" s="1">
        <f t="shared" si="785"/>
        <v>17.826225389700834</v>
      </c>
    </row>
    <row r="531" spans="1:31" ht="13.5" customHeight="1">
      <c r="K531" s="47"/>
      <c r="L531" s="2" t="s">
        <v>44</v>
      </c>
      <c r="M531" s="2"/>
      <c r="N531" s="47">
        <f>N530*2/1000+Y531</f>
        <v>17.826225389700834</v>
      </c>
      <c r="O531" s="2" t="s">
        <v>1</v>
      </c>
      <c r="P531" s="1">
        <f>SUM(P520:P529)</f>
        <v>66.319856887326623</v>
      </c>
      <c r="Q531" s="1" t="s">
        <v>43</v>
      </c>
      <c r="S531" s="47"/>
      <c r="U531" s="47"/>
      <c r="V531" s="47"/>
      <c r="W531" s="2"/>
      <c r="Y531" s="3">
        <f>Y511</f>
        <v>6</v>
      </c>
      <c r="Z531" s="3" t="s">
        <v>42</v>
      </c>
      <c r="AE531" s="1">
        <f>N531</f>
        <v>17.826225389700834</v>
      </c>
    </row>
    <row r="532" spans="1:31" ht="13.5" customHeight="1">
      <c r="L532" s="60" t="s">
        <v>41</v>
      </c>
      <c r="N532" s="3">
        <f>N512</f>
        <v>15</v>
      </c>
      <c r="O532" s="1" t="s">
        <v>1</v>
      </c>
    </row>
    <row r="535" spans="1:31" ht="13.5" customHeight="1" thickBot="1"/>
    <row r="536" spans="1:31" ht="13.5" customHeight="1">
      <c r="B536" s="14" t="s">
        <v>40</v>
      </c>
      <c r="C536" s="15"/>
      <c r="D536" s="15"/>
      <c r="E536" s="15"/>
      <c r="F536" s="15"/>
      <c r="G536" s="15"/>
      <c r="H536" s="15" t="s">
        <v>39</v>
      </c>
      <c r="I536" s="16"/>
      <c r="J536" s="14" t="s">
        <v>38</v>
      </c>
      <c r="K536" s="15"/>
      <c r="L536" s="15"/>
      <c r="M536" s="15"/>
      <c r="N536" s="15" t="s">
        <v>37</v>
      </c>
      <c r="O536" s="15"/>
      <c r="P536" s="15"/>
      <c r="Q536" s="15"/>
      <c r="R536" s="15"/>
      <c r="S536" s="16"/>
      <c r="T536" s="14" t="s">
        <v>36</v>
      </c>
      <c r="U536" s="15"/>
      <c r="V536" s="16"/>
      <c r="W536" s="14"/>
      <c r="X536" s="15"/>
      <c r="Y536" s="15"/>
      <c r="Z536" s="16"/>
    </row>
    <row r="537" spans="1:31" ht="13.5" customHeight="1">
      <c r="B537" s="17" t="s">
        <v>35</v>
      </c>
      <c r="C537" s="18" t="s">
        <v>22</v>
      </c>
      <c r="D537" s="18"/>
      <c r="E537" s="18" t="s">
        <v>34</v>
      </c>
      <c r="F537" s="18" t="s">
        <v>33</v>
      </c>
      <c r="G537" s="18" t="s">
        <v>7</v>
      </c>
      <c r="H537" s="18" t="s">
        <v>32</v>
      </c>
      <c r="I537" s="19" t="s">
        <v>22</v>
      </c>
      <c r="J537" s="17" t="s">
        <v>31</v>
      </c>
      <c r="K537" s="18"/>
      <c r="L537" s="18" t="s">
        <v>30</v>
      </c>
      <c r="M537" s="18"/>
      <c r="N537" s="18" t="s">
        <v>29</v>
      </c>
      <c r="O537" s="18"/>
      <c r="P537" s="18" t="s">
        <v>28</v>
      </c>
      <c r="Q537" s="20" t="s">
        <v>27</v>
      </c>
      <c r="R537" s="21" t="s">
        <v>26</v>
      </c>
      <c r="S537" s="22" t="s">
        <v>7</v>
      </c>
      <c r="T537" s="23" t="s">
        <v>25</v>
      </c>
      <c r="U537" s="24" t="s">
        <v>24</v>
      </c>
      <c r="V537" s="25" t="s">
        <v>7</v>
      </c>
      <c r="W537" s="26" t="s">
        <v>23</v>
      </c>
      <c r="X537" s="4" t="s">
        <v>22</v>
      </c>
      <c r="Y537" s="4" t="s">
        <v>21</v>
      </c>
      <c r="Z537" s="5" t="s">
        <v>20</v>
      </c>
    </row>
    <row r="538" spans="1:31" ht="13.5" customHeight="1">
      <c r="B538" s="54" t="s">
        <v>3</v>
      </c>
      <c r="C538" s="28" t="s">
        <v>17</v>
      </c>
      <c r="D538" s="20" t="s">
        <v>13</v>
      </c>
      <c r="E538" s="20" t="s">
        <v>19</v>
      </c>
      <c r="F538" s="28" t="s">
        <v>19</v>
      </c>
      <c r="G538" s="20" t="s">
        <v>3</v>
      </c>
      <c r="H538" s="20" t="s">
        <v>19</v>
      </c>
      <c r="I538" s="29" t="s">
        <v>12</v>
      </c>
      <c r="J538" s="55" t="s">
        <v>18</v>
      </c>
      <c r="K538" s="20" t="s">
        <v>17</v>
      </c>
      <c r="L538" s="56" t="s">
        <v>16</v>
      </c>
      <c r="M538" s="20" t="s">
        <v>15</v>
      </c>
      <c r="N538" s="20" t="s">
        <v>14</v>
      </c>
      <c r="O538" s="20" t="s">
        <v>13</v>
      </c>
      <c r="P538" s="20" t="s">
        <v>12</v>
      </c>
      <c r="Q538" s="20" t="s">
        <v>11</v>
      </c>
      <c r="R538" s="21" t="s">
        <v>11</v>
      </c>
      <c r="S538" s="22" t="s">
        <v>10</v>
      </c>
      <c r="T538" s="23" t="s">
        <v>9</v>
      </c>
      <c r="U538" s="24" t="s">
        <v>9</v>
      </c>
      <c r="V538" s="33" t="s">
        <v>8</v>
      </c>
      <c r="W538" s="34" t="s">
        <v>7</v>
      </c>
      <c r="X538" s="4" t="s">
        <v>6</v>
      </c>
      <c r="Y538" s="6" t="s">
        <v>5</v>
      </c>
      <c r="Z538" s="7" t="s">
        <v>5</v>
      </c>
    </row>
    <row r="539" spans="1:31" ht="13.5" customHeight="1" thickBot="1">
      <c r="B539" s="57"/>
      <c r="C539" s="3">
        <f>C519</f>
        <v>1.05</v>
      </c>
      <c r="D539" s="37"/>
      <c r="E539" s="38"/>
      <c r="F539" s="38"/>
      <c r="G539" s="37"/>
      <c r="H539" s="37"/>
      <c r="I539" s="39"/>
      <c r="J539" s="58" t="s">
        <v>4</v>
      </c>
      <c r="K539" s="44"/>
      <c r="L539" s="59"/>
      <c r="M539" s="37"/>
      <c r="N539" s="37"/>
      <c r="O539" s="37"/>
      <c r="P539" s="37"/>
      <c r="Q539" s="42"/>
      <c r="R539" s="42"/>
      <c r="S539" s="52" t="s">
        <v>3</v>
      </c>
      <c r="T539" s="43"/>
      <c r="U539" s="44"/>
      <c r="V539" s="39" t="s">
        <v>3</v>
      </c>
      <c r="W539" s="45" t="s">
        <v>3</v>
      </c>
      <c r="X539" s="8" t="s">
        <v>2</v>
      </c>
      <c r="Y539" s="9" t="s">
        <v>1</v>
      </c>
      <c r="Z539" s="13" t="s">
        <v>0</v>
      </c>
    </row>
    <row r="540" spans="1:31" ht="13.5" customHeight="1">
      <c r="A540" s="1">
        <v>1</v>
      </c>
      <c r="B540" s="3">
        <f t="shared" ref="B540:B549" si="787">B520</f>
        <v>1000</v>
      </c>
      <c r="C540" s="1">
        <f t="shared" ref="C540:C549" si="788">IF(B540&lt;1,0.000001,C520*(1+AB520))</f>
        <v>4.2567279658649947E-2</v>
      </c>
      <c r="D540" s="1">
        <f t="shared" ref="D540:D603" si="789">EXP((1+(E540-F540-55)/55*$B$18)*B540/C540/-210000)</f>
        <v>0.89543151199759452</v>
      </c>
      <c r="E540" s="1">
        <f t="shared" ref="E540:E549" si="790">R540</f>
        <v>73.165122029532967</v>
      </c>
      <c r="F540" s="1">
        <f t="shared" ref="F540:F549" si="791">F520</f>
        <v>20</v>
      </c>
      <c r="G540" s="1">
        <f t="shared" ref="G540:G549" si="792">(E540-F540)*C540*(1-D540)*4200</f>
        <v>993.92320591273358</v>
      </c>
      <c r="H540" s="1">
        <f t="shared" ref="H540:H549" si="793">(E540-F540)*D540+F540</f>
        <v>67.605725604441318</v>
      </c>
      <c r="I540" s="1">
        <f t="shared" ref="I540:I549" si="794">B540*0.001*6/C540</f>
        <v>140.95333430076877</v>
      </c>
      <c r="J540" s="3">
        <f t="shared" ref="J540:J549" si="795">J520</f>
        <v>10</v>
      </c>
      <c r="K540" s="47">
        <f t="shared" ref="K540:K549" si="796">K539+C540</f>
        <v>4.2567279658649947E-2</v>
      </c>
      <c r="L540" s="3">
        <f t="shared" ref="L540:L549" si="797">L520</f>
        <v>3</v>
      </c>
      <c r="M540" s="47">
        <f t="shared" ref="M540:M549" si="798">K540/(J540*J540*3.14/4000)</f>
        <v>0.5422583396006363</v>
      </c>
      <c r="N540" s="47">
        <f t="shared" ref="N540:N549" si="799">L540*26400/J540^1.27*M540^1.83*$N$69</f>
        <v>1734.7328939834458</v>
      </c>
      <c r="O540" s="1">
        <f t="shared" ref="O540:O549" si="800">EXP(-(J540+2)*3.14/1000*$O$66/(M540*J540*J540*3.14/4000*4200)*L540)</f>
        <v>0.99369718275707386</v>
      </c>
      <c r="P540" s="1">
        <f t="shared" ref="P540:P549" si="801">L540/M540</f>
        <v>5.532418371305174</v>
      </c>
      <c r="Q540" s="1">
        <f t="shared" ref="Q540:Q549" si="802">R541</f>
        <v>73.502337484768816</v>
      </c>
      <c r="R540" s="1">
        <f t="shared" ref="R540:R549" si="803">(Q540-F540)*O540+F540</f>
        <v>73.165122029532967</v>
      </c>
      <c r="S540" s="47">
        <f t="shared" ref="S540:S549" si="804">K540*(1-O540)*4200*(Q540-F540)</f>
        <v>60.288247270622982</v>
      </c>
      <c r="T540" s="1">
        <f t="shared" ref="T540:T549" si="805">(U539*K539+H540*C540)/K540</f>
        <v>67.605725604441318</v>
      </c>
      <c r="U540" s="47">
        <f t="shared" ref="U540:U549" si="806">(T540-F540)*O540+F540</f>
        <v>67.305675416239637</v>
      </c>
      <c r="V540" s="47">
        <f t="shared" ref="V540:V549" si="807">K540*(1-O540)*4200*(T540-F540)</f>
        <v>53.643745145808701</v>
      </c>
      <c r="W540" s="2">
        <f t="shared" ref="W540:W603" si="808">G540+(S540+V540)*$AB$22+0.01</f>
        <v>993.93320591273357</v>
      </c>
      <c r="X540" s="1">
        <f t="shared" ref="X540:X549" si="809">C540*3600</f>
        <v>153.24220677113982</v>
      </c>
      <c r="Y540" s="1">
        <f t="shared" ref="Y540:Y549" si="810">Y541-2*N540/1000</f>
        <v>5.9999999999999982</v>
      </c>
      <c r="Z540" s="2">
        <f t="shared" ref="Z540:Z549" si="811">-1.1-1.8*LOG10(Y540/X540/X540)</f>
        <v>5.3666899800677488</v>
      </c>
      <c r="AA540" s="3">
        <f t="shared" ref="AA540:AA549" si="812">AA520</f>
        <v>1000</v>
      </c>
      <c r="AB540" s="1">
        <f t="shared" ref="AB540" si="813">((AA540/W540)-1)*AB$23+AC540+AD540</f>
        <v>6.1038247350788666E-3</v>
      </c>
      <c r="AC540" s="1">
        <f>((N552/N551)-1)*AB$24</f>
        <v>0</v>
      </c>
      <c r="AD540" s="64">
        <f t="shared" ref="AD540" si="814">(AC$21-(X540/1000/SQRT(Y540/104))*1000/B540)*AB$21</f>
        <v>0</v>
      </c>
      <c r="AE540" s="1">
        <f t="shared" ref="AE540:AE550" si="815">AE541</f>
        <v>17.937822986648428</v>
      </c>
    </row>
    <row r="541" spans="1:31" ht="13.5" customHeight="1">
      <c r="A541" s="1">
        <v>2</v>
      </c>
      <c r="B541" s="3">
        <f t="shared" si="787"/>
        <v>1000</v>
      </c>
      <c r="C541" s="1">
        <f t="shared" si="788"/>
        <v>3.7799714473601982E-2</v>
      </c>
      <c r="D541" s="1">
        <f t="shared" si="789"/>
        <v>0.88278489068991606</v>
      </c>
      <c r="E541" s="1">
        <f t="shared" si="790"/>
        <v>73.502337484768816</v>
      </c>
      <c r="F541" s="1">
        <f t="shared" si="791"/>
        <v>20</v>
      </c>
      <c r="G541" s="1">
        <f t="shared" si="792"/>
        <v>995.62126317217962</v>
      </c>
      <c r="H541" s="1">
        <f t="shared" si="793"/>
        <v>67.231055148146638</v>
      </c>
      <c r="I541" s="1">
        <f t="shared" si="794"/>
        <v>158.73135772467788</v>
      </c>
      <c r="J541" s="3">
        <f t="shared" si="795"/>
        <v>14.142135623730951</v>
      </c>
      <c r="K541" s="47">
        <f t="shared" si="796"/>
        <v>8.0366994132251929E-2</v>
      </c>
      <c r="L541" s="3">
        <f t="shared" si="797"/>
        <v>3</v>
      </c>
      <c r="M541" s="47">
        <f t="shared" si="798"/>
        <v>0.51189168237103133</v>
      </c>
      <c r="N541" s="47">
        <f t="shared" si="799"/>
        <v>1005.2568025575339</v>
      </c>
      <c r="O541" s="1">
        <f t="shared" si="800"/>
        <v>0.9955052346912372</v>
      </c>
      <c r="P541" s="1">
        <f t="shared" si="801"/>
        <v>5.8606148591911058</v>
      </c>
      <c r="Q541" s="1">
        <f t="shared" si="802"/>
        <v>73.743903718761402</v>
      </c>
      <c r="R541" s="1">
        <f t="shared" si="803"/>
        <v>73.502337484768816</v>
      </c>
      <c r="S541" s="47">
        <f t="shared" si="804"/>
        <v>81.538598861292868</v>
      </c>
      <c r="T541" s="1">
        <f t="shared" si="805"/>
        <v>67.270578609916157</v>
      </c>
      <c r="U541" s="47">
        <f t="shared" si="806"/>
        <v>67.058108453055155</v>
      </c>
      <c r="V541" s="47">
        <f t="shared" si="807"/>
        <v>71.717468968850582</v>
      </c>
      <c r="W541" s="2">
        <f t="shared" si="808"/>
        <v>995.63126317217962</v>
      </c>
      <c r="X541" s="1">
        <f t="shared" si="809"/>
        <v>136.07897210496714</v>
      </c>
      <c r="Y541" s="1">
        <f t="shared" si="810"/>
        <v>9.4694657879668895</v>
      </c>
      <c r="Z541" s="2">
        <f t="shared" si="811"/>
        <v>4.8242618095675116</v>
      </c>
      <c r="AA541" s="3">
        <f t="shared" si="812"/>
        <v>1000</v>
      </c>
      <c r="AB541" s="1">
        <f t="shared" si="783"/>
        <v>4.3879064362655207E-3</v>
      </c>
      <c r="AC541" s="1">
        <f t="shared" ref="AC541:AC549" si="816">AC540</f>
        <v>0</v>
      </c>
      <c r="AD541" s="64">
        <f t="shared" si="784"/>
        <v>0</v>
      </c>
      <c r="AE541" s="1">
        <f t="shared" si="815"/>
        <v>17.937822986648428</v>
      </c>
    </row>
    <row r="542" spans="1:31" ht="13.5" customHeight="1">
      <c r="A542" s="1">
        <v>3</v>
      </c>
      <c r="B542" s="3">
        <f t="shared" si="787"/>
        <v>1000</v>
      </c>
      <c r="C542" s="1">
        <f t="shared" si="788"/>
        <v>3.4914319811505945E-2</v>
      </c>
      <c r="D542" s="1">
        <f t="shared" si="789"/>
        <v>0.87353711750709806</v>
      </c>
      <c r="E542" s="1">
        <f t="shared" si="790"/>
        <v>73.743903718761402</v>
      </c>
      <c r="F542" s="1">
        <f t="shared" si="791"/>
        <v>20</v>
      </c>
      <c r="G542" s="1">
        <f t="shared" si="792"/>
        <v>996.65571426018425</v>
      </c>
      <c r="H542" s="1">
        <f t="shared" si="793"/>
        <v>66.947294738065835</v>
      </c>
      <c r="I542" s="1">
        <f t="shared" si="794"/>
        <v>171.84925934093988</v>
      </c>
      <c r="J542" s="3">
        <f t="shared" si="795"/>
        <v>17.320508075688775</v>
      </c>
      <c r="K542" s="47">
        <f t="shared" si="796"/>
        <v>0.11528131394375787</v>
      </c>
      <c r="L542" s="3">
        <f t="shared" si="797"/>
        <v>3</v>
      </c>
      <c r="M542" s="47">
        <f t="shared" si="798"/>
        <v>0.48951725666139212</v>
      </c>
      <c r="N542" s="47">
        <f t="shared" si="799"/>
        <v>716.04225144679481</v>
      </c>
      <c r="O542" s="1">
        <f t="shared" si="800"/>
        <v>0.9962481518075873</v>
      </c>
      <c r="P542" s="1">
        <f t="shared" si="801"/>
        <v>6.1284867063944057</v>
      </c>
      <c r="Q542" s="1">
        <f t="shared" si="802"/>
        <v>73.946302054612346</v>
      </c>
      <c r="R542" s="1">
        <f t="shared" si="803"/>
        <v>73.743903718761402</v>
      </c>
      <c r="S542" s="47">
        <f t="shared" si="804"/>
        <v>97.997533607093999</v>
      </c>
      <c r="T542" s="1">
        <f t="shared" si="805"/>
        <v>67.024547198830334</v>
      </c>
      <c r="U542" s="47">
        <f t="shared" si="806"/>
        <v>66.848118236423375</v>
      </c>
      <c r="V542" s="47">
        <f t="shared" si="807"/>
        <v>85.423642936833147</v>
      </c>
      <c r="W542" s="2">
        <f t="shared" si="808"/>
        <v>996.66571426018425</v>
      </c>
      <c r="X542" s="1">
        <f t="shared" si="809"/>
        <v>125.6915513214214</v>
      </c>
      <c r="Y542" s="1">
        <f t="shared" si="810"/>
        <v>11.479979393081956</v>
      </c>
      <c r="Z542" s="2">
        <f t="shared" si="811"/>
        <v>4.5496079159528726</v>
      </c>
      <c r="AA542" s="3">
        <f t="shared" si="812"/>
        <v>1000</v>
      </c>
      <c r="AB542" s="1">
        <f t="shared" si="783"/>
        <v>3.3454403940149646E-3</v>
      </c>
      <c r="AC542" s="1">
        <f t="shared" si="816"/>
        <v>0</v>
      </c>
      <c r="AD542" s="64">
        <f t="shared" si="784"/>
        <v>0</v>
      </c>
      <c r="AE542" s="1">
        <f t="shared" si="815"/>
        <v>17.937822986648428</v>
      </c>
    </row>
    <row r="543" spans="1:31" ht="13.5" customHeight="1">
      <c r="A543" s="1">
        <v>4</v>
      </c>
      <c r="B543" s="3">
        <f t="shared" si="787"/>
        <v>1000</v>
      </c>
      <c r="C543" s="1">
        <f t="shared" si="788"/>
        <v>3.2778213931203164E-2</v>
      </c>
      <c r="D543" s="1">
        <f t="shared" si="789"/>
        <v>0.86569823426195069</v>
      </c>
      <c r="E543" s="1">
        <f t="shared" si="790"/>
        <v>73.946302054612346</v>
      </c>
      <c r="F543" s="1">
        <f t="shared" si="791"/>
        <v>20</v>
      </c>
      <c r="G543" s="1">
        <f t="shared" si="792"/>
        <v>997.41978368632238</v>
      </c>
      <c r="H543" s="1">
        <f t="shared" si="793"/>
        <v>66.701218433639752</v>
      </c>
      <c r="I543" s="1">
        <f t="shared" si="794"/>
        <v>183.04841174669102</v>
      </c>
      <c r="J543" s="3">
        <f t="shared" si="795"/>
        <v>20</v>
      </c>
      <c r="K543" s="47">
        <f t="shared" si="796"/>
        <v>0.14805952787496104</v>
      </c>
      <c r="L543" s="3">
        <f t="shared" si="797"/>
        <v>3</v>
      </c>
      <c r="M543" s="47">
        <f t="shared" si="798"/>
        <v>0.47152715883745555</v>
      </c>
      <c r="N543" s="47">
        <f t="shared" si="799"/>
        <v>556.98613348784659</v>
      </c>
      <c r="O543" s="1">
        <f t="shared" si="800"/>
        <v>0.99667291067245212</v>
      </c>
      <c r="P543" s="1">
        <f t="shared" si="801"/>
        <v>6.3623058476556542</v>
      </c>
      <c r="Q543" s="1">
        <f t="shared" si="802"/>
        <v>74.126385373728027</v>
      </c>
      <c r="R543" s="1">
        <f t="shared" si="803"/>
        <v>73.946302054612346</v>
      </c>
      <c r="S543" s="47">
        <f t="shared" si="804"/>
        <v>111.98481506697532</v>
      </c>
      <c r="T543" s="1">
        <f t="shared" si="805"/>
        <v>66.815596768665088</v>
      </c>
      <c r="U543" s="47">
        <f t="shared" si="806"/>
        <v>66.659837096293273</v>
      </c>
      <c r="V543" s="47">
        <f t="shared" si="807"/>
        <v>96.85915492398145</v>
      </c>
      <c r="W543" s="2">
        <f t="shared" si="808"/>
        <v>997.42978368632237</v>
      </c>
      <c r="X543" s="1">
        <f t="shared" si="809"/>
        <v>118.00157015233138</v>
      </c>
      <c r="Y543" s="1">
        <f t="shared" si="810"/>
        <v>12.912063895975546</v>
      </c>
      <c r="Z543" s="2">
        <f t="shared" si="811"/>
        <v>4.3590038304323855</v>
      </c>
      <c r="AA543" s="3">
        <f t="shared" si="812"/>
        <v>1000</v>
      </c>
      <c r="AB543" s="1">
        <f t="shared" si="783"/>
        <v>2.5768393482081819E-3</v>
      </c>
      <c r="AC543" s="1">
        <f t="shared" si="816"/>
        <v>0</v>
      </c>
      <c r="AD543" s="64">
        <f t="shared" si="784"/>
        <v>0</v>
      </c>
      <c r="AE543" s="1">
        <f t="shared" si="815"/>
        <v>17.937822986648428</v>
      </c>
    </row>
    <row r="544" spans="1:31" ht="13.5" customHeight="1">
      <c r="A544" s="1">
        <v>5</v>
      </c>
      <c r="B544" s="3">
        <f t="shared" si="787"/>
        <v>1000</v>
      </c>
      <c r="C544" s="1">
        <f t="shared" si="788"/>
        <v>3.1063248978858142E-2</v>
      </c>
      <c r="D544" s="1">
        <f t="shared" si="789"/>
        <v>0.85866898756350618</v>
      </c>
      <c r="E544" s="1">
        <f t="shared" si="790"/>
        <v>74.126385373728027</v>
      </c>
      <c r="F544" s="1">
        <f t="shared" si="791"/>
        <v>20</v>
      </c>
      <c r="G544" s="1">
        <f t="shared" si="792"/>
        <v>998.02785692501982</v>
      </c>
      <c r="H544" s="1">
        <f t="shared" si="793"/>
        <v>66.476648529331214</v>
      </c>
      <c r="I544" s="1">
        <f t="shared" si="794"/>
        <v>193.15429638682164</v>
      </c>
      <c r="J544" s="3">
        <f t="shared" si="795"/>
        <v>22.360679774997898</v>
      </c>
      <c r="K544" s="47">
        <f t="shared" si="796"/>
        <v>0.17912277685381919</v>
      </c>
      <c r="L544" s="3">
        <f t="shared" si="797"/>
        <v>3</v>
      </c>
      <c r="M544" s="47">
        <f t="shared" si="798"/>
        <v>0.4563637626848896</v>
      </c>
      <c r="N544" s="47">
        <f t="shared" si="799"/>
        <v>455.33250060035596</v>
      </c>
      <c r="O544" s="1">
        <f t="shared" si="800"/>
        <v>0.99695436391232617</v>
      </c>
      <c r="P544" s="1">
        <f t="shared" si="801"/>
        <v>6.5737033596846786</v>
      </c>
      <c r="Q544" s="1">
        <f t="shared" si="802"/>
        <v>74.291738251007843</v>
      </c>
      <c r="R544" s="1">
        <f t="shared" si="803"/>
        <v>74.126385373728027</v>
      </c>
      <c r="S544" s="47">
        <f t="shared" si="804"/>
        <v>124.39755946433999</v>
      </c>
      <c r="T544" s="1">
        <f t="shared" si="805"/>
        <v>66.628068763055197</v>
      </c>
      <c r="U544" s="47">
        <f t="shared" si="806"/>
        <v>66.486056634131899</v>
      </c>
      <c r="V544" s="47">
        <f t="shared" si="807"/>
        <v>106.83794889458743</v>
      </c>
      <c r="W544" s="2">
        <f t="shared" si="808"/>
        <v>998.03785692501981</v>
      </c>
      <c r="X544" s="1">
        <f t="shared" si="809"/>
        <v>111.82769632388931</v>
      </c>
      <c r="Y544" s="1">
        <f t="shared" si="810"/>
        <v>14.02603616295124</v>
      </c>
      <c r="Z544" s="2">
        <f t="shared" si="811"/>
        <v>4.2102948446009005</v>
      </c>
      <c r="AA544" s="3">
        <f t="shared" si="812"/>
        <v>1000</v>
      </c>
      <c r="AB544" s="1">
        <f t="shared" si="783"/>
        <v>1.9660006495401117E-3</v>
      </c>
      <c r="AC544" s="1">
        <f t="shared" si="816"/>
        <v>0</v>
      </c>
      <c r="AD544" s="64">
        <f t="shared" si="784"/>
        <v>0</v>
      </c>
      <c r="AE544" s="1">
        <f t="shared" si="815"/>
        <v>17.937822986648428</v>
      </c>
    </row>
    <row r="545" spans="1:31" ht="13.5" customHeight="1">
      <c r="A545" s="1">
        <v>6</v>
      </c>
      <c r="B545" s="3">
        <f t="shared" si="787"/>
        <v>1000</v>
      </c>
      <c r="C545" s="1">
        <f t="shared" si="788"/>
        <v>2.9623907092148415E-2</v>
      </c>
      <c r="D545" s="1">
        <f t="shared" si="789"/>
        <v>0.85217895514445952</v>
      </c>
      <c r="E545" s="1">
        <f t="shared" si="790"/>
        <v>74.291738251007843</v>
      </c>
      <c r="F545" s="1">
        <f t="shared" si="791"/>
        <v>20</v>
      </c>
      <c r="G545" s="1">
        <f t="shared" si="792"/>
        <v>998.53120548523884</v>
      </c>
      <c r="H545" s="1">
        <f t="shared" si="793"/>
        <v>66.266276775720343</v>
      </c>
      <c r="I545" s="1">
        <f t="shared" si="794"/>
        <v>202.53911752208583</v>
      </c>
      <c r="J545" s="3">
        <f t="shared" si="795"/>
        <v>24.494897427831781</v>
      </c>
      <c r="K545" s="47">
        <f t="shared" si="796"/>
        <v>0.2087466839459676</v>
      </c>
      <c r="L545" s="3">
        <f t="shared" si="797"/>
        <v>3</v>
      </c>
      <c r="M545" s="47">
        <f t="shared" si="798"/>
        <v>0.44319890434388026</v>
      </c>
      <c r="N545" s="47">
        <f t="shared" si="799"/>
        <v>384.40119711056838</v>
      </c>
      <c r="O545" s="1">
        <f t="shared" si="800"/>
        <v>0.99715733122117101</v>
      </c>
      <c r="P545" s="1">
        <f t="shared" si="801"/>
        <v>6.7689698024891438</v>
      </c>
      <c r="Q545" s="1">
        <f t="shared" si="802"/>
        <v>74.44651164979085</v>
      </c>
      <c r="R545" s="1">
        <f t="shared" si="803"/>
        <v>74.291738251007843</v>
      </c>
      <c r="S545" s="47">
        <f t="shared" si="804"/>
        <v>135.69542178780043</v>
      </c>
      <c r="T545" s="1">
        <f t="shared" si="805"/>
        <v>66.454866974094017</v>
      </c>
      <c r="U545" s="47">
        <f t="shared" si="806"/>
        <v>66.322811174122108</v>
      </c>
      <c r="V545" s="47">
        <f t="shared" si="807"/>
        <v>115.77808342786756</v>
      </c>
      <c r="W545" s="2">
        <f t="shared" si="808"/>
        <v>998.54120548523883</v>
      </c>
      <c r="X545" s="1">
        <f t="shared" si="809"/>
        <v>106.64606553173429</v>
      </c>
      <c r="Y545" s="1">
        <f t="shared" si="810"/>
        <v>14.936701164151952</v>
      </c>
      <c r="Z545" s="2">
        <f t="shared" si="811"/>
        <v>4.086942969906568</v>
      </c>
      <c r="AA545" s="3">
        <f t="shared" si="812"/>
        <v>1000</v>
      </c>
      <c r="AB545" s="1">
        <f t="shared" si="783"/>
        <v>1.460925705166316E-3</v>
      </c>
      <c r="AC545" s="1">
        <f t="shared" si="816"/>
        <v>0</v>
      </c>
      <c r="AD545" s="64">
        <f t="shared" si="784"/>
        <v>0</v>
      </c>
      <c r="AE545" s="1">
        <f t="shared" si="815"/>
        <v>17.937822986648428</v>
      </c>
    </row>
    <row r="546" spans="1:31" ht="13.5" customHeight="1">
      <c r="A546" s="1">
        <v>7</v>
      </c>
      <c r="B546" s="3">
        <f t="shared" si="787"/>
        <v>1000</v>
      </c>
      <c r="C546" s="1">
        <f t="shared" si="788"/>
        <v>2.838134837277155E-2</v>
      </c>
      <c r="D546" s="1">
        <f t="shared" si="789"/>
        <v>0.84608007286163056</v>
      </c>
      <c r="E546" s="1">
        <f t="shared" si="790"/>
        <v>74.44651164979085</v>
      </c>
      <c r="F546" s="1">
        <f t="shared" si="791"/>
        <v>20</v>
      </c>
      <c r="G546" s="1">
        <f t="shared" si="792"/>
        <v>998.95798824254314</v>
      </c>
      <c r="H546" s="1">
        <f t="shared" si="793"/>
        <v>66.066108543716666</v>
      </c>
      <c r="I546" s="1">
        <f t="shared" si="794"/>
        <v>211.40644627569102</v>
      </c>
      <c r="J546" s="3">
        <f t="shared" si="795"/>
        <v>26.457513110645905</v>
      </c>
      <c r="K546" s="47">
        <f t="shared" si="796"/>
        <v>0.23712803231873913</v>
      </c>
      <c r="L546" s="3">
        <f t="shared" si="797"/>
        <v>3</v>
      </c>
      <c r="M546" s="47">
        <f t="shared" si="798"/>
        <v>0.43153418074383831</v>
      </c>
      <c r="N546" s="47">
        <f t="shared" si="799"/>
        <v>331.95235698164493</v>
      </c>
      <c r="O546" s="1">
        <f t="shared" si="800"/>
        <v>0.99731198733820281</v>
      </c>
      <c r="P546" s="1">
        <f t="shared" si="801"/>
        <v>6.9519406199269786</v>
      </c>
      <c r="Q546" s="1">
        <f t="shared" si="802"/>
        <v>74.593259021288844</v>
      </c>
      <c r="R546" s="1">
        <f t="shared" si="803"/>
        <v>74.44651164979085</v>
      </c>
      <c r="S546" s="47">
        <f t="shared" si="804"/>
        <v>146.15124489532269</v>
      </c>
      <c r="T546" s="1">
        <f t="shared" si="805"/>
        <v>66.292086983858724</v>
      </c>
      <c r="U546" s="47">
        <f t="shared" si="806"/>
        <v>66.167653267905095</v>
      </c>
      <c r="V546" s="47">
        <f t="shared" si="807"/>
        <v>123.92823331641051</v>
      </c>
      <c r="W546" s="2">
        <f t="shared" si="808"/>
        <v>998.96798824254313</v>
      </c>
      <c r="X546" s="1">
        <f t="shared" si="809"/>
        <v>102.17285414197758</v>
      </c>
      <c r="Y546" s="1">
        <f t="shared" si="810"/>
        <v>15.705503558373088</v>
      </c>
      <c r="Z546" s="2">
        <f t="shared" si="811"/>
        <v>3.9807145331955014</v>
      </c>
      <c r="AA546" s="3">
        <f t="shared" si="812"/>
        <v>1000</v>
      </c>
      <c r="AB546" s="1">
        <f t="shared" si="783"/>
        <v>1.0330779060021555E-3</v>
      </c>
      <c r="AC546" s="1">
        <f t="shared" si="816"/>
        <v>0</v>
      </c>
      <c r="AD546" s="64">
        <f t="shared" si="784"/>
        <v>0</v>
      </c>
      <c r="AE546" s="1">
        <f t="shared" si="815"/>
        <v>17.937822986648428</v>
      </c>
    </row>
    <row r="547" spans="1:31" ht="13.5" customHeight="1">
      <c r="A547" s="1">
        <v>8</v>
      </c>
      <c r="B547" s="3">
        <f t="shared" si="787"/>
        <v>1000</v>
      </c>
      <c r="C547" s="1">
        <f t="shared" si="788"/>
        <v>2.7287455312729497E-2</v>
      </c>
      <c r="D547" s="1">
        <f t="shared" si="789"/>
        <v>0.84028132874356254</v>
      </c>
      <c r="E547" s="1">
        <f t="shared" si="790"/>
        <v>74.593259021288844</v>
      </c>
      <c r="F547" s="1">
        <f t="shared" si="791"/>
        <v>20</v>
      </c>
      <c r="G547" s="1">
        <f t="shared" si="792"/>
        <v>999.32565596067502</v>
      </c>
      <c r="H547" s="1">
        <f t="shared" si="793"/>
        <v>65.873696230850072</v>
      </c>
      <c r="I547" s="1">
        <f t="shared" si="794"/>
        <v>219.88125793470459</v>
      </c>
      <c r="J547" s="3">
        <f t="shared" si="795"/>
        <v>28.284271247461902</v>
      </c>
      <c r="K547" s="47">
        <f t="shared" si="796"/>
        <v>0.2644154876314686</v>
      </c>
      <c r="L547" s="3">
        <f t="shared" si="797"/>
        <v>3</v>
      </c>
      <c r="M547" s="47">
        <f t="shared" si="798"/>
        <v>0.42104377011380345</v>
      </c>
      <c r="N547" s="47">
        <f t="shared" si="799"/>
        <v>291.53581329790171</v>
      </c>
      <c r="O547" s="1">
        <f t="shared" si="800"/>
        <v>0.99743448735347218</v>
      </c>
      <c r="P547" s="1">
        <f t="shared" si="801"/>
        <v>7.1251499557614482</v>
      </c>
      <c r="Q547" s="1">
        <f t="shared" si="802"/>
        <v>74.733678966869334</v>
      </c>
      <c r="R547" s="1">
        <f t="shared" si="803"/>
        <v>74.593259021288844</v>
      </c>
      <c r="S547" s="47">
        <f t="shared" si="804"/>
        <v>155.94267521217608</v>
      </c>
      <c r="T547" s="1">
        <f t="shared" si="805"/>
        <v>66.137317149607526</v>
      </c>
      <c r="U547" s="47">
        <f t="shared" si="806"/>
        <v>66.018951278983337</v>
      </c>
      <c r="V547" s="47">
        <f t="shared" si="807"/>
        <v>131.45063148007017</v>
      </c>
      <c r="W547" s="2">
        <f t="shared" si="808"/>
        <v>999.33565596067501</v>
      </c>
      <c r="X547" s="1">
        <f t="shared" si="809"/>
        <v>98.234839125826184</v>
      </c>
      <c r="Y547" s="1">
        <f t="shared" si="810"/>
        <v>16.369408272336379</v>
      </c>
      <c r="Z547" s="2">
        <f t="shared" si="811"/>
        <v>3.886896572574297</v>
      </c>
      <c r="AA547" s="3">
        <f t="shared" si="812"/>
        <v>1000</v>
      </c>
      <c r="AB547" s="1">
        <f t="shared" si="783"/>
        <v>6.6478568573269392E-4</v>
      </c>
      <c r="AC547" s="1">
        <f t="shared" si="816"/>
        <v>0</v>
      </c>
      <c r="AD547" s="64">
        <f t="shared" si="784"/>
        <v>0</v>
      </c>
      <c r="AE547" s="1">
        <f t="shared" si="815"/>
        <v>17.937822986648428</v>
      </c>
    </row>
    <row r="548" spans="1:31" ht="13.5" customHeight="1">
      <c r="A548" s="1">
        <v>9</v>
      </c>
      <c r="B548" s="3">
        <f t="shared" si="787"/>
        <v>1000</v>
      </c>
      <c r="C548" s="1">
        <f t="shared" si="788"/>
        <v>2.6310429497333806E-2</v>
      </c>
      <c r="D548" s="1">
        <f t="shared" si="789"/>
        <v>0.83472227194083326</v>
      </c>
      <c r="E548" s="1">
        <f t="shared" si="790"/>
        <v>74.733678966869334</v>
      </c>
      <c r="F548" s="1">
        <f t="shared" si="791"/>
        <v>20</v>
      </c>
      <c r="G548" s="1">
        <f t="shared" si="792"/>
        <v>999.64593188993479</v>
      </c>
      <c r="H548" s="1">
        <f t="shared" si="793"/>
        <v>65.687420858905369</v>
      </c>
      <c r="I548" s="1">
        <f t="shared" si="794"/>
        <v>228.04644829564702</v>
      </c>
      <c r="J548" s="3">
        <f t="shared" si="795"/>
        <v>30</v>
      </c>
      <c r="K548" s="47">
        <f t="shared" si="796"/>
        <v>0.29072591712880241</v>
      </c>
      <c r="L548" s="3">
        <f t="shared" si="797"/>
        <v>3</v>
      </c>
      <c r="M548" s="47">
        <f t="shared" si="798"/>
        <v>0.41150165198698146</v>
      </c>
      <c r="N548" s="47">
        <f t="shared" si="799"/>
        <v>259.41267859136838</v>
      </c>
      <c r="O548" s="1">
        <f t="shared" si="800"/>
        <v>0.99753434743039171</v>
      </c>
      <c r="P548" s="1">
        <f t="shared" si="801"/>
        <v>7.2903717044978231</v>
      </c>
      <c r="Q548" s="1">
        <f t="shared" si="802"/>
        <v>74.868966775791819</v>
      </c>
      <c r="R548" s="1">
        <f t="shared" si="803"/>
        <v>74.733678966869334</v>
      </c>
      <c r="S548" s="47">
        <f t="shared" si="804"/>
        <v>165.19302376640718</v>
      </c>
      <c r="T548" s="1">
        <f t="shared" si="805"/>
        <v>65.988948079303626</v>
      </c>
      <c r="U548" s="47">
        <f t="shared" si="806"/>
        <v>65.875555311298314</v>
      </c>
      <c r="V548" s="47">
        <f t="shared" si="807"/>
        <v>138.45810919130136</v>
      </c>
      <c r="W548" s="2">
        <f t="shared" si="808"/>
        <v>999.65593188993478</v>
      </c>
      <c r="X548" s="1">
        <f t="shared" si="809"/>
        <v>94.717546190401706</v>
      </c>
      <c r="Y548" s="1">
        <f t="shared" si="810"/>
        <v>16.952479898932182</v>
      </c>
      <c r="Z548" s="2">
        <f t="shared" si="811"/>
        <v>3.8025297497840298</v>
      </c>
      <c r="AA548" s="3">
        <f t="shared" si="812"/>
        <v>1000</v>
      </c>
      <c r="AB548" s="1">
        <f t="shared" si="783"/>
        <v>3.4418653367529473E-4</v>
      </c>
      <c r="AC548" s="1">
        <f t="shared" si="816"/>
        <v>0</v>
      </c>
      <c r="AD548" s="64">
        <f t="shared" si="784"/>
        <v>0</v>
      </c>
      <c r="AE548" s="1">
        <f t="shared" si="815"/>
        <v>17.937822986648428</v>
      </c>
    </row>
    <row r="549" spans="1:31" ht="13.5" customHeight="1">
      <c r="A549" s="1">
        <v>10</v>
      </c>
      <c r="B549" s="3">
        <f t="shared" si="787"/>
        <v>1000</v>
      </c>
      <c r="C549" s="1">
        <f t="shared" si="788"/>
        <v>2.5428023112066534E-2</v>
      </c>
      <c r="D549" s="1">
        <f t="shared" si="789"/>
        <v>0.82936045082588394</v>
      </c>
      <c r="E549" s="1">
        <f t="shared" si="790"/>
        <v>74.868966775791819</v>
      </c>
      <c r="F549" s="1">
        <f t="shared" si="791"/>
        <v>20</v>
      </c>
      <c r="G549" s="1">
        <f t="shared" si="792"/>
        <v>999.92716065318382</v>
      </c>
      <c r="H549" s="1">
        <f t="shared" si="793"/>
        <v>65.506151021521148</v>
      </c>
      <c r="I549" s="1">
        <f t="shared" si="794"/>
        <v>235.9601441903983</v>
      </c>
      <c r="J549" s="3">
        <f t="shared" si="795"/>
        <v>31.622776601683793</v>
      </c>
      <c r="K549" s="47">
        <f t="shared" si="796"/>
        <v>0.31615394024086896</v>
      </c>
      <c r="L549" s="3">
        <f t="shared" si="797"/>
        <v>3</v>
      </c>
      <c r="M549" s="47">
        <f t="shared" si="798"/>
        <v>0.40274387291830438</v>
      </c>
      <c r="N549" s="47">
        <f t="shared" si="799"/>
        <v>233.25886526675322</v>
      </c>
      <c r="O549" s="1">
        <f t="shared" si="800"/>
        <v>0.99761757774166959</v>
      </c>
      <c r="P549" s="1">
        <f t="shared" si="801"/>
        <v>7.4489028927040755</v>
      </c>
      <c r="Q549" s="1">
        <f t="shared" si="802"/>
        <v>75</v>
      </c>
      <c r="R549" s="1">
        <f t="shared" si="803"/>
        <v>74.868966775791819</v>
      </c>
      <c r="S549" s="47">
        <f t="shared" si="804"/>
        <v>173.99201457069151</v>
      </c>
      <c r="T549" s="1">
        <f t="shared" si="805"/>
        <v>65.845844402710568</v>
      </c>
      <c r="U549" s="47">
        <f t="shared" si="806"/>
        <v>65.736620242553599</v>
      </c>
      <c r="V549" s="47">
        <f t="shared" si="807"/>
        <v>145.0329241331286</v>
      </c>
      <c r="W549" s="2">
        <f t="shared" si="808"/>
        <v>999.93716065318381</v>
      </c>
      <c r="X549" s="1">
        <f t="shared" si="809"/>
        <v>91.54088320343952</v>
      </c>
      <c r="Y549" s="1">
        <f t="shared" si="810"/>
        <v>17.47130525611492</v>
      </c>
      <c r="Z549" s="2">
        <f t="shared" si="811"/>
        <v>3.7256287206738992</v>
      </c>
      <c r="AA549" s="3">
        <f t="shared" si="812"/>
        <v>1000</v>
      </c>
      <c r="AB549" s="1">
        <f t="shared" si="783"/>
        <v>6.2843295847825331E-5</v>
      </c>
      <c r="AC549" s="1">
        <f t="shared" si="816"/>
        <v>0</v>
      </c>
      <c r="AD549" s="64">
        <f t="shared" si="784"/>
        <v>0</v>
      </c>
      <c r="AE549" s="1">
        <f t="shared" si="815"/>
        <v>17.937822986648428</v>
      </c>
    </row>
    <row r="550" spans="1:31" ht="13.5" customHeight="1">
      <c r="K550" s="47"/>
      <c r="L550" s="47"/>
      <c r="M550" s="47"/>
      <c r="N550" s="47">
        <f>SUM(N540:N549)</f>
        <v>5968.9114933242126</v>
      </c>
      <c r="O550" s="2" t="s">
        <v>46</v>
      </c>
      <c r="P550" s="2"/>
      <c r="Q550" s="2"/>
      <c r="R550" s="49">
        <f>R530</f>
        <v>75</v>
      </c>
      <c r="S550" s="50" t="s">
        <v>45</v>
      </c>
      <c r="T550" s="2"/>
      <c r="U550" s="11">
        <f>U549</f>
        <v>65.736620242553599</v>
      </c>
      <c r="V550" s="47"/>
      <c r="W550" s="2"/>
      <c r="Y550" s="1">
        <f>N551</f>
        <v>17.937822986648428</v>
      </c>
      <c r="AE550" s="1">
        <f t="shared" si="815"/>
        <v>17.937822986648428</v>
      </c>
    </row>
    <row r="551" spans="1:31" ht="13.5" customHeight="1">
      <c r="K551" s="47"/>
      <c r="L551" s="2" t="s">
        <v>44</v>
      </c>
      <c r="M551" s="2"/>
      <c r="N551" s="47">
        <f>N550*2/1000+Y551</f>
        <v>17.937822986648428</v>
      </c>
      <c r="O551" s="2" t="s">
        <v>1</v>
      </c>
      <c r="P551" s="1">
        <f>SUM(P540:P549)</f>
        <v>66.042864119610485</v>
      </c>
      <c r="Q551" s="1" t="s">
        <v>43</v>
      </c>
      <c r="S551" s="47"/>
      <c r="U551" s="47"/>
      <c r="V551" s="47"/>
      <c r="W551" s="2"/>
      <c r="Y551" s="3">
        <f>Y531</f>
        <v>6</v>
      </c>
      <c r="Z551" s="3" t="s">
        <v>42</v>
      </c>
      <c r="AE551" s="1">
        <f>N551</f>
        <v>17.937822986648428</v>
      </c>
    </row>
    <row r="552" spans="1:31" ht="13.5" customHeight="1">
      <c r="L552" s="60" t="s">
        <v>41</v>
      </c>
      <c r="N552" s="3">
        <f>N532</f>
        <v>15</v>
      </c>
      <c r="O552" s="1" t="s">
        <v>1</v>
      </c>
    </row>
    <row r="555" spans="1:31" ht="13.5" customHeight="1" thickBot="1"/>
    <row r="556" spans="1:31" ht="13.5" customHeight="1">
      <c r="B556" s="14" t="s">
        <v>40</v>
      </c>
      <c r="C556" s="15"/>
      <c r="D556" s="15"/>
      <c r="E556" s="15"/>
      <c r="F556" s="15"/>
      <c r="G556" s="15"/>
      <c r="H556" s="15" t="s">
        <v>39</v>
      </c>
      <c r="I556" s="16"/>
      <c r="J556" s="14" t="s">
        <v>38</v>
      </c>
      <c r="K556" s="15"/>
      <c r="L556" s="15"/>
      <c r="M556" s="15"/>
      <c r="N556" s="15" t="s">
        <v>37</v>
      </c>
      <c r="O556" s="15"/>
      <c r="P556" s="15"/>
      <c r="Q556" s="15"/>
      <c r="R556" s="15"/>
      <c r="S556" s="16"/>
      <c r="T556" s="14" t="s">
        <v>36</v>
      </c>
      <c r="U556" s="15"/>
      <c r="V556" s="16"/>
      <c r="W556" s="14"/>
      <c r="X556" s="15"/>
      <c r="Y556" s="15"/>
      <c r="Z556" s="16"/>
    </row>
    <row r="557" spans="1:31" ht="13.5" customHeight="1">
      <c r="B557" s="17" t="s">
        <v>35</v>
      </c>
      <c r="C557" s="18" t="s">
        <v>22</v>
      </c>
      <c r="D557" s="18"/>
      <c r="E557" s="18" t="s">
        <v>34</v>
      </c>
      <c r="F557" s="18" t="s">
        <v>33</v>
      </c>
      <c r="G557" s="18" t="s">
        <v>7</v>
      </c>
      <c r="H557" s="18" t="s">
        <v>32</v>
      </c>
      <c r="I557" s="19" t="s">
        <v>22</v>
      </c>
      <c r="J557" s="17" t="s">
        <v>31</v>
      </c>
      <c r="K557" s="18"/>
      <c r="L557" s="18" t="s">
        <v>30</v>
      </c>
      <c r="M557" s="18"/>
      <c r="N557" s="18" t="s">
        <v>29</v>
      </c>
      <c r="O557" s="18"/>
      <c r="P557" s="18" t="s">
        <v>28</v>
      </c>
      <c r="Q557" s="20" t="s">
        <v>27</v>
      </c>
      <c r="R557" s="21" t="s">
        <v>26</v>
      </c>
      <c r="S557" s="22" t="s">
        <v>7</v>
      </c>
      <c r="T557" s="23" t="s">
        <v>25</v>
      </c>
      <c r="U557" s="24" t="s">
        <v>24</v>
      </c>
      <c r="V557" s="25" t="s">
        <v>7</v>
      </c>
      <c r="W557" s="26" t="s">
        <v>23</v>
      </c>
      <c r="X557" s="4" t="s">
        <v>22</v>
      </c>
      <c r="Y557" s="4" t="s">
        <v>21</v>
      </c>
      <c r="Z557" s="5" t="s">
        <v>20</v>
      </c>
    </row>
    <row r="558" spans="1:31" ht="13.5" customHeight="1">
      <c r="B558" s="54" t="s">
        <v>3</v>
      </c>
      <c r="C558" s="28" t="s">
        <v>17</v>
      </c>
      <c r="D558" s="20" t="s">
        <v>13</v>
      </c>
      <c r="E558" s="20" t="s">
        <v>19</v>
      </c>
      <c r="F558" s="28" t="s">
        <v>19</v>
      </c>
      <c r="G558" s="20" t="s">
        <v>3</v>
      </c>
      <c r="H558" s="20" t="s">
        <v>19</v>
      </c>
      <c r="I558" s="29" t="s">
        <v>12</v>
      </c>
      <c r="J558" s="55" t="s">
        <v>18</v>
      </c>
      <c r="K558" s="20" t="s">
        <v>17</v>
      </c>
      <c r="L558" s="56" t="s">
        <v>16</v>
      </c>
      <c r="M558" s="20" t="s">
        <v>15</v>
      </c>
      <c r="N558" s="20" t="s">
        <v>14</v>
      </c>
      <c r="O558" s="20" t="s">
        <v>13</v>
      </c>
      <c r="P558" s="20" t="s">
        <v>12</v>
      </c>
      <c r="Q558" s="20" t="s">
        <v>11</v>
      </c>
      <c r="R558" s="21" t="s">
        <v>11</v>
      </c>
      <c r="S558" s="22" t="s">
        <v>10</v>
      </c>
      <c r="T558" s="23" t="s">
        <v>9</v>
      </c>
      <c r="U558" s="24" t="s">
        <v>9</v>
      </c>
      <c r="V558" s="33" t="s">
        <v>8</v>
      </c>
      <c r="W558" s="34" t="s">
        <v>7</v>
      </c>
      <c r="X558" s="4" t="s">
        <v>6</v>
      </c>
      <c r="Y558" s="6" t="s">
        <v>5</v>
      </c>
      <c r="Z558" s="7" t="s">
        <v>5</v>
      </c>
    </row>
    <row r="559" spans="1:31" ht="13.5" customHeight="1" thickBot="1">
      <c r="B559" s="57"/>
      <c r="C559" s="3">
        <f>C539</f>
        <v>1.05</v>
      </c>
      <c r="D559" s="37"/>
      <c r="E559" s="38"/>
      <c r="F559" s="38"/>
      <c r="G559" s="37"/>
      <c r="H559" s="37"/>
      <c r="I559" s="39"/>
      <c r="J559" s="58" t="s">
        <v>4</v>
      </c>
      <c r="K559" s="44"/>
      <c r="L559" s="59"/>
      <c r="M559" s="37"/>
      <c r="N559" s="37"/>
      <c r="O559" s="37"/>
      <c r="P559" s="37"/>
      <c r="Q559" s="42"/>
      <c r="R559" s="42"/>
      <c r="S559" s="52" t="s">
        <v>3</v>
      </c>
      <c r="T559" s="43"/>
      <c r="U559" s="44"/>
      <c r="V559" s="39" t="s">
        <v>3</v>
      </c>
      <c r="W559" s="45" t="s">
        <v>3</v>
      </c>
      <c r="X559" s="8" t="s">
        <v>2</v>
      </c>
      <c r="Y559" s="9" t="s">
        <v>1</v>
      </c>
      <c r="Z559" s="13" t="s">
        <v>0</v>
      </c>
    </row>
    <row r="560" spans="1:31" ht="13.5" customHeight="1">
      <c r="A560" s="1">
        <v>1</v>
      </c>
      <c r="B560" s="3">
        <f t="shared" ref="B560:B569" si="817">B540</f>
        <v>1000</v>
      </c>
      <c r="C560" s="1">
        <f t="shared" ref="C560:C569" si="818">IF(B560&lt;1,0.000001,C540*(1+AB540))</f>
        <v>4.2827102873135431E-2</v>
      </c>
      <c r="D560" s="1">
        <f t="shared" si="789"/>
        <v>0.89602644425209665</v>
      </c>
      <c r="E560" s="1">
        <f t="shared" ref="E560:E569" si="819">R560</f>
        <v>73.172784987170672</v>
      </c>
      <c r="F560" s="1">
        <f t="shared" ref="F560:F569" si="820">F540</f>
        <v>20</v>
      </c>
      <c r="G560" s="1">
        <f t="shared" ref="G560:G569" si="821">(E560-F560)*C560*(1-D560)*4200</f>
        <v>994.44390691291017</v>
      </c>
      <c r="H560" s="1">
        <f t="shared" ref="H560:H569" si="822">(E560-F560)*D560+F560</f>
        <v>67.644221463035805</v>
      </c>
      <c r="I560" s="1">
        <f t="shared" ref="I560:I569" si="823">B560*0.001*6/C560</f>
        <v>140.0981994456524</v>
      </c>
      <c r="J560" s="3">
        <f t="shared" ref="J560:J569" si="824">J540</f>
        <v>10</v>
      </c>
      <c r="K560" s="47">
        <f t="shared" ref="K560:K569" si="825">K559+C560</f>
        <v>4.2827102873135431E-2</v>
      </c>
      <c r="L560" s="3">
        <f t="shared" ref="L560:L569" si="826">L540</f>
        <v>3</v>
      </c>
      <c r="M560" s="47">
        <f t="shared" ref="M560:M569" si="827">K560/(J560*J560*3.14/4000)</f>
        <v>0.54556818946669339</v>
      </c>
      <c r="N560" s="47">
        <f t="shared" ref="N560:N569" si="828">L560*26400/J560^1.27*M560^1.83*$N$69</f>
        <v>1754.1589257312557</v>
      </c>
      <c r="O560" s="1">
        <f t="shared" ref="O560:O569" si="829">EXP(-(J560+2)*3.14/1000*$O$66/(M560*J560*J560*3.14/4000*4200)*L560)</f>
        <v>0.99373530062533066</v>
      </c>
      <c r="P560" s="1">
        <f t="shared" ref="P560:P569" si="830">L560/M560</f>
        <v>5.4988543282418565</v>
      </c>
      <c r="Q560" s="1">
        <f t="shared" ref="Q560:Q569" si="831">R561</f>
        <v>73.507996499380155</v>
      </c>
      <c r="R560" s="1">
        <f t="shared" ref="R560:R569" si="832">(Q560-F560)*O560+F560</f>
        <v>73.172784987170672</v>
      </c>
      <c r="S560" s="47">
        <f t="shared" ref="S560:S569" si="833">K560*(1-O560)*4200*(Q560-F560)</f>
        <v>60.295779254148968</v>
      </c>
      <c r="T560" s="1">
        <f t="shared" ref="T560:T569" si="834">(U559*K559+H560*C560)/K560</f>
        <v>67.644221463035805</v>
      </c>
      <c r="U560" s="47">
        <f t="shared" ref="U560:U569" si="835">(T560-F560)*O560+F560</f>
        <v>67.345744738629719</v>
      </c>
      <c r="V560" s="47">
        <f t="shared" ref="V560:V569" si="836">K560*(1-O560)*4200*(T560-F560)</f>
        <v>53.688152201779253</v>
      </c>
      <c r="W560" s="2">
        <f t="shared" si="808"/>
        <v>994.45390691291016</v>
      </c>
      <c r="X560" s="1">
        <f t="shared" ref="X560:X569" si="837">C560*3600</f>
        <v>154.17757034328756</v>
      </c>
      <c r="Y560" s="1">
        <f t="shared" ref="Y560:Y569" si="838">Y561-2*N560/1000</f>
        <v>5.9999999999999964</v>
      </c>
      <c r="Z560" s="2">
        <f t="shared" ref="Z560:Z569" si="839">-1.1-1.8*LOG10(Y560/X560/X560)</f>
        <v>5.3762040600216707</v>
      </c>
      <c r="AA560" s="3">
        <f t="shared" ref="AA560:AA569" si="840">AA540</f>
        <v>1000</v>
      </c>
      <c r="AB560" s="1">
        <f t="shared" ref="AB560" si="841">((AA560/W560)-1)*AB$23+AC560+AD560</f>
        <v>5.5770237801233691E-3</v>
      </c>
      <c r="AC560" s="1">
        <f>((N572/N571)-1)*AB$24</f>
        <v>0</v>
      </c>
      <c r="AD560" s="64">
        <f t="shared" ref="AD560" si="842">(AC$21-(X560/1000/SQRT(Y560/104))*1000/B560)*AB$21</f>
        <v>0</v>
      </c>
      <c r="AE560" s="1">
        <f t="shared" ref="AE560:AE570" si="843">AE561</f>
        <v>18.040315725957736</v>
      </c>
    </row>
    <row r="561" spans="1:31" ht="13.5" customHeight="1">
      <c r="A561" s="1">
        <v>2</v>
      </c>
      <c r="B561" s="3">
        <f t="shared" si="817"/>
        <v>1000</v>
      </c>
      <c r="C561" s="1">
        <f t="shared" si="818"/>
        <v>3.7965576084029701E-2</v>
      </c>
      <c r="D561" s="1">
        <f t="shared" si="789"/>
        <v>0.8832615136215799</v>
      </c>
      <c r="E561" s="1">
        <f t="shared" si="819"/>
        <v>73.507996499380155</v>
      </c>
      <c r="F561" s="1">
        <f t="shared" si="820"/>
        <v>20</v>
      </c>
      <c r="G561" s="1">
        <f t="shared" si="821"/>
        <v>996.0291128162778</v>
      </c>
      <c r="H561" s="1">
        <f t="shared" si="822"/>
        <v>67.261553978900707</v>
      </c>
      <c r="I561" s="1">
        <f t="shared" si="823"/>
        <v>158.03790219645614</v>
      </c>
      <c r="J561" s="3">
        <f t="shared" si="824"/>
        <v>14.142135623730951</v>
      </c>
      <c r="K561" s="47">
        <f t="shared" si="825"/>
        <v>8.0792678957165132E-2</v>
      </c>
      <c r="L561" s="3">
        <f t="shared" si="826"/>
        <v>3</v>
      </c>
      <c r="M561" s="47">
        <f t="shared" si="827"/>
        <v>0.51460305068258039</v>
      </c>
      <c r="N561" s="47">
        <f t="shared" si="828"/>
        <v>1015.0222437152871</v>
      </c>
      <c r="O561" s="1">
        <f t="shared" si="829"/>
        <v>0.99552886393054774</v>
      </c>
      <c r="P561" s="1">
        <f t="shared" si="830"/>
        <v>5.8297361354946036</v>
      </c>
      <c r="Q561" s="1">
        <f t="shared" si="831"/>
        <v>73.748312518152261</v>
      </c>
      <c r="R561" s="1">
        <f t="shared" si="832"/>
        <v>73.507996499380155</v>
      </c>
      <c r="S561" s="47">
        <f t="shared" si="833"/>
        <v>81.546254802258133</v>
      </c>
      <c r="T561" s="1">
        <f t="shared" si="834"/>
        <v>67.306182358283863</v>
      </c>
      <c r="U561" s="47">
        <f t="shared" si="835"/>
        <v>67.094669980033643</v>
      </c>
      <c r="V561" s="47">
        <f t="shared" si="836"/>
        <v>71.772337020029681</v>
      </c>
      <c r="W561" s="2">
        <f t="shared" si="808"/>
        <v>996.03911281627779</v>
      </c>
      <c r="X561" s="1">
        <f t="shared" si="837"/>
        <v>136.67607390250691</v>
      </c>
      <c r="Y561" s="1">
        <f t="shared" si="838"/>
        <v>9.5083178514625075</v>
      </c>
      <c r="Z561" s="2">
        <f t="shared" si="839"/>
        <v>4.8279063376049294</v>
      </c>
      <c r="AA561" s="3">
        <f t="shared" si="840"/>
        <v>1000</v>
      </c>
      <c r="AB561" s="1">
        <f t="shared" si="783"/>
        <v>3.9766381989989608E-3</v>
      </c>
      <c r="AC561" s="1">
        <f t="shared" ref="AC561:AC569" si="844">AC560</f>
        <v>0</v>
      </c>
      <c r="AD561" s="64">
        <f t="shared" si="784"/>
        <v>0</v>
      </c>
      <c r="AE561" s="1">
        <f t="shared" si="843"/>
        <v>18.040315725957736</v>
      </c>
    </row>
    <row r="562" spans="1:31" ht="13.5" customHeight="1">
      <c r="A562" s="1">
        <v>3</v>
      </c>
      <c r="B562" s="3">
        <f t="shared" si="817"/>
        <v>1000</v>
      </c>
      <c r="C562" s="1">
        <f t="shared" si="818"/>
        <v>3.5031123587332916E-2</v>
      </c>
      <c r="D562" s="1">
        <f t="shared" si="789"/>
        <v>0.87392738776322409</v>
      </c>
      <c r="E562" s="1">
        <f t="shared" si="819"/>
        <v>73.748312518152261</v>
      </c>
      <c r="F562" s="1">
        <f t="shared" si="820"/>
        <v>20</v>
      </c>
      <c r="G562" s="1">
        <f t="shared" si="821"/>
        <v>996.9857311393497</v>
      </c>
      <c r="H562" s="1">
        <f t="shared" si="822"/>
        <v>66.972122355670194</v>
      </c>
      <c r="I562" s="1">
        <f t="shared" si="823"/>
        <v>171.27626480612145</v>
      </c>
      <c r="J562" s="3">
        <f t="shared" si="824"/>
        <v>17.320508075688775</v>
      </c>
      <c r="K562" s="47">
        <f t="shared" si="825"/>
        <v>0.11582380254449805</v>
      </c>
      <c r="L562" s="3">
        <f t="shared" si="826"/>
        <v>3</v>
      </c>
      <c r="M562" s="47">
        <f t="shared" si="827"/>
        <v>0.49182081759871765</v>
      </c>
      <c r="N562" s="47">
        <f t="shared" si="828"/>
        <v>722.22054471013917</v>
      </c>
      <c r="O562" s="1">
        <f t="shared" si="829"/>
        <v>0.99626569163788947</v>
      </c>
      <c r="P562" s="1">
        <f t="shared" si="830"/>
        <v>6.0997824668083389</v>
      </c>
      <c r="Q562" s="1">
        <f t="shared" si="831"/>
        <v>73.949777623867064</v>
      </c>
      <c r="R562" s="1">
        <f t="shared" si="832"/>
        <v>73.748312518152261</v>
      </c>
      <c r="S562" s="47">
        <f t="shared" si="833"/>
        <v>98.004709420458127</v>
      </c>
      <c r="T562" s="1">
        <f t="shared" si="834"/>
        <v>67.05760522408454</v>
      </c>
      <c r="U562" s="47">
        <f t="shared" si="835"/>
        <v>66.881877615395354</v>
      </c>
      <c r="V562" s="47">
        <f t="shared" si="836"/>
        <v>85.484447371823364</v>
      </c>
      <c r="W562" s="2">
        <f t="shared" si="808"/>
        <v>996.99573113934969</v>
      </c>
      <c r="X562" s="1">
        <f t="shared" si="837"/>
        <v>126.1120449143985</v>
      </c>
      <c r="Y562" s="1">
        <f t="shared" si="838"/>
        <v>11.538362338893082</v>
      </c>
      <c r="Z562" s="2">
        <f t="shared" si="839"/>
        <v>4.5508641329349206</v>
      </c>
      <c r="AA562" s="3">
        <f t="shared" si="840"/>
        <v>1000</v>
      </c>
      <c r="AB562" s="1">
        <f t="shared" si="783"/>
        <v>3.0133216891681247E-3</v>
      </c>
      <c r="AC562" s="1">
        <f t="shared" si="844"/>
        <v>0</v>
      </c>
      <c r="AD562" s="64">
        <f t="shared" si="784"/>
        <v>0</v>
      </c>
      <c r="AE562" s="1">
        <f t="shared" si="843"/>
        <v>18.040315725957736</v>
      </c>
    </row>
    <row r="563" spans="1:31" ht="13.5" customHeight="1">
      <c r="A563" s="1">
        <v>4</v>
      </c>
      <c r="B563" s="3">
        <f t="shared" si="817"/>
        <v>1000</v>
      </c>
      <c r="C563" s="1">
        <f t="shared" si="818"/>
        <v>3.2862678122625076E-2</v>
      </c>
      <c r="D563" s="1">
        <f t="shared" si="789"/>
        <v>0.86601617198641712</v>
      </c>
      <c r="E563" s="1">
        <f t="shared" si="819"/>
        <v>73.949777623867064</v>
      </c>
      <c r="F563" s="1">
        <f t="shared" si="820"/>
        <v>20</v>
      </c>
      <c r="G563" s="1">
        <f t="shared" si="821"/>
        <v>997.6869328825552</v>
      </c>
      <c r="H563" s="1">
        <f t="shared" si="822"/>
        <v>66.721379897339816</v>
      </c>
      <c r="I563" s="1">
        <f t="shared" si="823"/>
        <v>182.57793773262685</v>
      </c>
      <c r="J563" s="3">
        <f t="shared" si="824"/>
        <v>20</v>
      </c>
      <c r="K563" s="47">
        <f t="shared" si="825"/>
        <v>0.14868648066712312</v>
      </c>
      <c r="L563" s="3">
        <f t="shared" si="826"/>
        <v>3</v>
      </c>
      <c r="M563" s="47">
        <f t="shared" si="827"/>
        <v>0.47352382378064689</v>
      </c>
      <c r="N563" s="47">
        <f t="shared" si="828"/>
        <v>561.30984080914789</v>
      </c>
      <c r="O563" s="1">
        <f t="shared" si="829"/>
        <v>0.9966869164426948</v>
      </c>
      <c r="P563" s="1">
        <f t="shared" si="830"/>
        <v>6.335478489863072</v>
      </c>
      <c r="Q563" s="1">
        <f t="shared" si="831"/>
        <v>74.129111894456116</v>
      </c>
      <c r="R563" s="1">
        <f t="shared" si="832"/>
        <v>73.949777623867064</v>
      </c>
      <c r="S563" s="47">
        <f t="shared" si="833"/>
        <v>111.99124253894747</v>
      </c>
      <c r="T563" s="1">
        <f t="shared" si="834"/>
        <v>66.846404418207484</v>
      </c>
      <c r="U563" s="47">
        <f t="shared" si="835"/>
        <v>66.691198366010653</v>
      </c>
      <c r="V563" s="47">
        <f t="shared" si="836"/>
        <v>96.923575053416457</v>
      </c>
      <c r="W563" s="2">
        <f t="shared" si="808"/>
        <v>997.69693288255519</v>
      </c>
      <c r="X563" s="1">
        <f t="shared" si="837"/>
        <v>118.30564124145027</v>
      </c>
      <c r="Y563" s="1">
        <f t="shared" si="838"/>
        <v>12.98280342831336</v>
      </c>
      <c r="Z563" s="2">
        <f t="shared" si="839"/>
        <v>4.3587563671376888</v>
      </c>
      <c r="AA563" s="3">
        <f t="shared" si="840"/>
        <v>1000</v>
      </c>
      <c r="AB563" s="1">
        <f t="shared" si="783"/>
        <v>2.3083834795309954E-3</v>
      </c>
      <c r="AC563" s="1">
        <f t="shared" si="844"/>
        <v>0</v>
      </c>
      <c r="AD563" s="64">
        <f t="shared" si="784"/>
        <v>0</v>
      </c>
      <c r="AE563" s="1">
        <f t="shared" si="843"/>
        <v>18.040315725957736</v>
      </c>
    </row>
    <row r="564" spans="1:31" ht="13.5" customHeight="1">
      <c r="A564" s="1">
        <v>5</v>
      </c>
      <c r="B564" s="3">
        <f t="shared" si="817"/>
        <v>1000</v>
      </c>
      <c r="C564" s="1">
        <f t="shared" si="818"/>
        <v>3.1124319346527405E-2</v>
      </c>
      <c r="D564" s="1">
        <f t="shared" si="789"/>
        <v>0.85892327118538936</v>
      </c>
      <c r="E564" s="1">
        <f t="shared" si="819"/>
        <v>74.129111894456116</v>
      </c>
      <c r="F564" s="1">
        <f t="shared" si="820"/>
        <v>20</v>
      </c>
      <c r="G564" s="1">
        <f t="shared" si="821"/>
        <v>998.24107434388247</v>
      </c>
      <c r="H564" s="1">
        <f t="shared" si="822"/>
        <v>66.492753854746212</v>
      </c>
      <c r="I564" s="1">
        <f t="shared" si="823"/>
        <v>192.77530002176354</v>
      </c>
      <c r="J564" s="3">
        <f t="shared" si="824"/>
        <v>22.360679774997898</v>
      </c>
      <c r="K564" s="47">
        <f t="shared" si="825"/>
        <v>0.17981080001365052</v>
      </c>
      <c r="L564" s="3">
        <f t="shared" si="826"/>
        <v>3</v>
      </c>
      <c r="M564" s="47">
        <f t="shared" si="827"/>
        <v>0.45811668793286747</v>
      </c>
      <c r="N564" s="47">
        <f t="shared" si="828"/>
        <v>458.53820569481178</v>
      </c>
      <c r="O564" s="1">
        <f t="shared" si="829"/>
        <v>0.99696599995484092</v>
      </c>
      <c r="P564" s="1">
        <f t="shared" si="830"/>
        <v>6.548549919752368</v>
      </c>
      <c r="Q564" s="1">
        <f t="shared" si="831"/>
        <v>74.293839405664755</v>
      </c>
      <c r="R564" s="1">
        <f t="shared" si="832"/>
        <v>74.129111894456116</v>
      </c>
      <c r="S564" s="47">
        <f t="shared" si="833"/>
        <v>124.40309941367424</v>
      </c>
      <c r="T564" s="1">
        <f t="shared" si="834"/>
        <v>66.656848647636181</v>
      </c>
      <c r="U564" s="47">
        <f t="shared" si="835"/>
        <v>66.515291766732275</v>
      </c>
      <c r="V564" s="47">
        <f t="shared" si="836"/>
        <v>106.90451521162913</v>
      </c>
      <c r="W564" s="2">
        <f t="shared" si="808"/>
        <v>998.25107434388246</v>
      </c>
      <c r="X564" s="1">
        <f t="shared" si="837"/>
        <v>112.04754964749866</v>
      </c>
      <c r="Y564" s="1">
        <f t="shared" si="838"/>
        <v>14.105423109931657</v>
      </c>
      <c r="Z564" s="2">
        <f t="shared" si="839"/>
        <v>4.2089534962002713</v>
      </c>
      <c r="AA564" s="3">
        <f t="shared" si="840"/>
        <v>1000</v>
      </c>
      <c r="AB564" s="1">
        <f t="shared" si="783"/>
        <v>1.7519897559510333E-3</v>
      </c>
      <c r="AC564" s="1">
        <f t="shared" si="844"/>
        <v>0</v>
      </c>
      <c r="AD564" s="64">
        <f t="shared" si="784"/>
        <v>0</v>
      </c>
      <c r="AE564" s="1">
        <f t="shared" si="843"/>
        <v>18.040315725957736</v>
      </c>
    </row>
    <row r="565" spans="1:31" ht="13.5" customHeight="1">
      <c r="A565" s="1">
        <v>6</v>
      </c>
      <c r="B565" s="3">
        <f t="shared" si="817"/>
        <v>1000</v>
      </c>
      <c r="C565" s="1">
        <f t="shared" si="818"/>
        <v>2.9667185419506793E-2</v>
      </c>
      <c r="D565" s="1">
        <f t="shared" si="789"/>
        <v>0.85237584552036127</v>
      </c>
      <c r="E565" s="1">
        <f t="shared" si="819"/>
        <v>74.293839405664755</v>
      </c>
      <c r="F565" s="1">
        <f t="shared" si="820"/>
        <v>20</v>
      </c>
      <c r="G565" s="1">
        <f t="shared" si="821"/>
        <v>998.69669706584432</v>
      </c>
      <c r="H565" s="1">
        <f t="shared" si="822"/>
        <v>66.278757269950205</v>
      </c>
      <c r="I565" s="1">
        <f t="shared" si="823"/>
        <v>202.24365456842006</v>
      </c>
      <c r="J565" s="3">
        <f t="shared" si="824"/>
        <v>24.494897427831781</v>
      </c>
      <c r="K565" s="47">
        <f t="shared" si="825"/>
        <v>0.20947798543315732</v>
      </c>
      <c r="L565" s="3">
        <f t="shared" si="826"/>
        <v>3</v>
      </c>
      <c r="M565" s="47">
        <f t="shared" si="827"/>
        <v>0.4447515614292088</v>
      </c>
      <c r="N565" s="47">
        <f t="shared" si="828"/>
        <v>386.86918779376532</v>
      </c>
      <c r="O565" s="1">
        <f t="shared" si="829"/>
        <v>0.99716724109630506</v>
      </c>
      <c r="P565" s="1">
        <f t="shared" si="830"/>
        <v>6.7453388816882445</v>
      </c>
      <c r="Q565" s="1">
        <f t="shared" si="831"/>
        <v>74.448077682508966</v>
      </c>
      <c r="R565" s="1">
        <f t="shared" si="832"/>
        <v>74.293839405664755</v>
      </c>
      <c r="S565" s="47">
        <f t="shared" si="833"/>
        <v>135.69999874202043</v>
      </c>
      <c r="T565" s="1">
        <f t="shared" si="834"/>
        <v>66.481792720235177</v>
      </c>
      <c r="U565" s="47">
        <f t="shared" si="835"/>
        <v>66.350121008047225</v>
      </c>
      <c r="V565" s="47">
        <f t="shared" si="836"/>
        <v>115.84576503219745</v>
      </c>
      <c r="W565" s="2">
        <f t="shared" si="808"/>
        <v>998.70669706584431</v>
      </c>
      <c r="X565" s="1">
        <f t="shared" si="837"/>
        <v>106.80186751022445</v>
      </c>
      <c r="Y565" s="1">
        <f t="shared" si="838"/>
        <v>15.022499521321281</v>
      </c>
      <c r="Z565" s="2">
        <f t="shared" si="839"/>
        <v>4.0847478902730856</v>
      </c>
      <c r="AA565" s="3">
        <f t="shared" si="840"/>
        <v>1000</v>
      </c>
      <c r="AB565" s="1">
        <f t="shared" si="783"/>
        <v>1.2949777326569656E-3</v>
      </c>
      <c r="AC565" s="1">
        <f t="shared" si="844"/>
        <v>0</v>
      </c>
      <c r="AD565" s="64">
        <f t="shared" si="784"/>
        <v>0</v>
      </c>
      <c r="AE565" s="1">
        <f t="shared" si="843"/>
        <v>18.040315725957736</v>
      </c>
    </row>
    <row r="566" spans="1:31" ht="13.5" customHeight="1">
      <c r="A566" s="1">
        <v>7</v>
      </c>
      <c r="B566" s="3">
        <f t="shared" si="817"/>
        <v>1000</v>
      </c>
      <c r="C566" s="1">
        <f t="shared" si="818"/>
        <v>2.8410668516718012E-2</v>
      </c>
      <c r="D566" s="1">
        <f t="shared" si="789"/>
        <v>0.84622449264935484</v>
      </c>
      <c r="E566" s="1">
        <f t="shared" si="819"/>
        <v>74.448077682508966</v>
      </c>
      <c r="F566" s="1">
        <f t="shared" si="820"/>
        <v>20</v>
      </c>
      <c r="G566" s="1">
        <f t="shared" si="821"/>
        <v>999.08045586989772</v>
      </c>
      <c r="H566" s="1">
        <f t="shared" si="822"/>
        <v>66.075296912613808</v>
      </c>
      <c r="I566" s="1">
        <f t="shared" si="823"/>
        <v>211.18827233753237</v>
      </c>
      <c r="J566" s="3">
        <f t="shared" si="824"/>
        <v>26.457513110645905</v>
      </c>
      <c r="K566" s="47">
        <f t="shared" si="825"/>
        <v>0.23788865394987532</v>
      </c>
      <c r="L566" s="3">
        <f t="shared" si="826"/>
        <v>3</v>
      </c>
      <c r="M566" s="47">
        <f t="shared" si="827"/>
        <v>0.43291838753389505</v>
      </c>
      <c r="N566" s="47">
        <f t="shared" si="828"/>
        <v>333.90350515567957</v>
      </c>
      <c r="O566" s="1">
        <f t="shared" si="829"/>
        <v>0.99732057042512079</v>
      </c>
      <c r="P566" s="1">
        <f t="shared" si="830"/>
        <v>6.9297125887615874</v>
      </c>
      <c r="Q566" s="1">
        <f t="shared" si="831"/>
        <v>74.594359423770612</v>
      </c>
      <c r="R566" s="1">
        <f t="shared" si="832"/>
        <v>74.448077682508966</v>
      </c>
      <c r="S566" s="47">
        <f t="shared" si="833"/>
        <v>146.15481940993351</v>
      </c>
      <c r="T566" s="1">
        <f t="shared" si="834"/>
        <v>66.317299197733348</v>
      </c>
      <c r="U566" s="47">
        <f t="shared" si="835"/>
        <v>66.193195256434421</v>
      </c>
      <c r="V566" s="47">
        <f t="shared" si="836"/>
        <v>123.99626209100842</v>
      </c>
      <c r="W566" s="2">
        <f t="shared" si="808"/>
        <v>999.09045586989771</v>
      </c>
      <c r="X566" s="1">
        <f t="shared" si="837"/>
        <v>102.27840666018484</v>
      </c>
      <c r="Y566" s="1">
        <f t="shared" si="838"/>
        <v>15.796237896908812</v>
      </c>
      <c r="Z566" s="2">
        <f t="shared" si="839"/>
        <v>3.9778256352328261</v>
      </c>
      <c r="AA566" s="3">
        <f t="shared" si="840"/>
        <v>1000</v>
      </c>
      <c r="AB566" s="1">
        <f t="shared" si="783"/>
        <v>9.1037215375089353E-4</v>
      </c>
      <c r="AC566" s="1">
        <f t="shared" si="844"/>
        <v>0</v>
      </c>
      <c r="AD566" s="64">
        <f t="shared" si="784"/>
        <v>0</v>
      </c>
      <c r="AE566" s="1">
        <f t="shared" si="843"/>
        <v>18.040315725957736</v>
      </c>
    </row>
    <row r="567" spans="1:31" ht="13.5" customHeight="1">
      <c r="A567" s="1">
        <v>8</v>
      </c>
      <c r="B567" s="3">
        <f t="shared" si="817"/>
        <v>1000</v>
      </c>
      <c r="C567" s="1">
        <f t="shared" si="818"/>
        <v>2.730559562242147E-2</v>
      </c>
      <c r="D567" s="1">
        <f t="shared" si="789"/>
        <v>0.84037736351396097</v>
      </c>
      <c r="E567" s="1">
        <f t="shared" si="819"/>
        <v>74.594359423770612</v>
      </c>
      <c r="F567" s="1">
        <f t="shared" si="820"/>
        <v>20</v>
      </c>
      <c r="G567" s="1">
        <f t="shared" si="821"/>
        <v>999.40886888912212</v>
      </c>
      <c r="H567" s="1">
        <f t="shared" si="822"/>
        <v>65.879863835281924</v>
      </c>
      <c r="I567" s="1">
        <f t="shared" si="823"/>
        <v>219.73518113163641</v>
      </c>
      <c r="J567" s="3">
        <f t="shared" si="824"/>
        <v>28.284271247461902</v>
      </c>
      <c r="K567" s="47">
        <f t="shared" si="825"/>
        <v>0.26519424957229681</v>
      </c>
      <c r="L567" s="3">
        <f t="shared" si="826"/>
        <v>3</v>
      </c>
      <c r="M567" s="47">
        <f t="shared" si="827"/>
        <v>0.42228383689856175</v>
      </c>
      <c r="N567" s="47">
        <f t="shared" si="828"/>
        <v>293.1090397598943</v>
      </c>
      <c r="O567" s="1">
        <f t="shared" si="829"/>
        <v>0.99744201152148637</v>
      </c>
      <c r="P567" s="1">
        <f t="shared" si="830"/>
        <v>7.1042264417064116</v>
      </c>
      <c r="Q567" s="1">
        <f t="shared" si="831"/>
        <v>74.734369309843913</v>
      </c>
      <c r="R567" s="1">
        <f t="shared" si="832"/>
        <v>74.594359423770612</v>
      </c>
      <c r="S567" s="47">
        <f t="shared" si="833"/>
        <v>155.94523001361819</v>
      </c>
      <c r="T567" s="1">
        <f t="shared" si="834"/>
        <v>66.160933240589102</v>
      </c>
      <c r="U567" s="47">
        <f t="shared" si="835"/>
        <v>66.042854105202238</v>
      </c>
      <c r="V567" s="47">
        <f t="shared" si="836"/>
        <v>131.5184123360728</v>
      </c>
      <c r="W567" s="2">
        <f t="shared" si="808"/>
        <v>999.41886888912211</v>
      </c>
      <c r="X567" s="1">
        <f t="shared" si="837"/>
        <v>98.300144240717287</v>
      </c>
      <c r="Y567" s="1">
        <f t="shared" si="838"/>
        <v>16.46404490722017</v>
      </c>
      <c r="Z567" s="2">
        <f t="shared" si="839"/>
        <v>3.8834291827428884</v>
      </c>
      <c r="AA567" s="3">
        <f t="shared" si="840"/>
        <v>1000</v>
      </c>
      <c r="AB567" s="1">
        <f t="shared" si="783"/>
        <v>5.8146902061584349E-4</v>
      </c>
      <c r="AC567" s="1">
        <f t="shared" si="844"/>
        <v>0</v>
      </c>
      <c r="AD567" s="64">
        <f t="shared" si="784"/>
        <v>0</v>
      </c>
      <c r="AE567" s="1">
        <f t="shared" si="843"/>
        <v>18.040315725957736</v>
      </c>
    </row>
    <row r="568" spans="1:31" ht="13.5" customHeight="1">
      <c r="A568" s="1">
        <v>9</v>
      </c>
      <c r="B568" s="3">
        <f t="shared" si="817"/>
        <v>1000</v>
      </c>
      <c r="C568" s="1">
        <f t="shared" si="818"/>
        <v>2.6319485192862001E-2</v>
      </c>
      <c r="D568" s="1">
        <f t="shared" si="789"/>
        <v>0.83477343788280367</v>
      </c>
      <c r="E568" s="1">
        <f t="shared" si="819"/>
        <v>74.734369309843913</v>
      </c>
      <c r="F568" s="1">
        <f t="shared" si="820"/>
        <v>20</v>
      </c>
      <c r="G568" s="1">
        <f t="shared" si="821"/>
        <v>999.6930328478586</v>
      </c>
      <c r="H568" s="1">
        <f t="shared" si="822"/>
        <v>65.690797639125421</v>
      </c>
      <c r="I568" s="1">
        <f t="shared" si="823"/>
        <v>227.96798478517488</v>
      </c>
      <c r="J568" s="3">
        <f t="shared" si="824"/>
        <v>30</v>
      </c>
      <c r="K568" s="47">
        <f t="shared" si="825"/>
        <v>0.29151373476515879</v>
      </c>
      <c r="L568" s="3">
        <f t="shared" si="826"/>
        <v>3</v>
      </c>
      <c r="M568" s="47">
        <f t="shared" si="827"/>
        <v>0.41261675125995584</v>
      </c>
      <c r="N568" s="47">
        <f t="shared" si="828"/>
        <v>260.70054936223698</v>
      </c>
      <c r="O568" s="1">
        <f t="shared" si="829"/>
        <v>0.99754100267199186</v>
      </c>
      <c r="P568" s="1">
        <f t="shared" si="830"/>
        <v>7.270669430747243</v>
      </c>
      <c r="Q568" s="1">
        <f t="shared" si="831"/>
        <v>74.869292754115989</v>
      </c>
      <c r="R568" s="1">
        <f t="shared" si="832"/>
        <v>74.734369309843913</v>
      </c>
      <c r="S568" s="47">
        <f t="shared" si="833"/>
        <v>165.19455601794257</v>
      </c>
      <c r="T568" s="1">
        <f t="shared" si="834"/>
        <v>66.011068484694761</v>
      </c>
      <c r="U568" s="47">
        <f t="shared" si="835"/>
        <v>65.897927390232098</v>
      </c>
      <c r="V568" s="47">
        <f t="shared" si="836"/>
        <v>138.52516860936089</v>
      </c>
      <c r="W568" s="2">
        <f t="shared" si="808"/>
        <v>999.70303284785859</v>
      </c>
      <c r="X568" s="1">
        <f t="shared" si="837"/>
        <v>94.750146694303197</v>
      </c>
      <c r="Y568" s="1">
        <f t="shared" si="838"/>
        <v>17.050262986739959</v>
      </c>
      <c r="Z568" s="2">
        <f t="shared" si="839"/>
        <v>3.7985716600417327</v>
      </c>
      <c r="AA568" s="3">
        <f t="shared" si="840"/>
        <v>1000</v>
      </c>
      <c r="AB568" s="1">
        <f t="shared" si="783"/>
        <v>2.9705536782809183E-4</v>
      </c>
      <c r="AC568" s="1">
        <f t="shared" si="844"/>
        <v>0</v>
      </c>
      <c r="AD568" s="64">
        <f t="shared" si="784"/>
        <v>0</v>
      </c>
      <c r="AE568" s="1">
        <f t="shared" si="843"/>
        <v>18.040315725957736</v>
      </c>
    </row>
    <row r="569" spans="1:31" ht="13.5" customHeight="1">
      <c r="A569" s="1">
        <v>10</v>
      </c>
      <c r="B569" s="3">
        <f t="shared" si="817"/>
        <v>1000</v>
      </c>
      <c r="C569" s="1">
        <f t="shared" si="818"/>
        <v>2.542962109284579E-2</v>
      </c>
      <c r="D569" s="1">
        <f t="shared" si="789"/>
        <v>0.82936985211319059</v>
      </c>
      <c r="E569" s="1">
        <f t="shared" si="819"/>
        <v>74.869292754115989</v>
      </c>
      <c r="F569" s="1">
        <f t="shared" si="820"/>
        <v>20</v>
      </c>
      <c r="G569" s="1">
        <f t="shared" si="821"/>
        <v>999.94084614663609</v>
      </c>
      <c r="H569" s="1">
        <f t="shared" si="822"/>
        <v>65.506937217036537</v>
      </c>
      <c r="I569" s="1">
        <f t="shared" si="823"/>
        <v>235.94531660906276</v>
      </c>
      <c r="J569" s="3">
        <f t="shared" si="824"/>
        <v>31.622776601683793</v>
      </c>
      <c r="K569" s="47">
        <f t="shared" si="825"/>
        <v>0.31694335585800459</v>
      </c>
      <c r="L569" s="3">
        <f t="shared" si="826"/>
        <v>3</v>
      </c>
      <c r="M569" s="47">
        <f t="shared" si="827"/>
        <v>0.40374949790828607</v>
      </c>
      <c r="N569" s="47">
        <f t="shared" si="828"/>
        <v>234.32582024665032</v>
      </c>
      <c r="O569" s="1">
        <f t="shared" si="829"/>
        <v>0.9976235046202907</v>
      </c>
      <c r="P569" s="1">
        <f t="shared" si="830"/>
        <v>7.4303497974416466</v>
      </c>
      <c r="Q569" s="1">
        <f t="shared" si="831"/>
        <v>75</v>
      </c>
      <c r="R569" s="1">
        <f t="shared" si="832"/>
        <v>74.869292754115989</v>
      </c>
      <c r="S569" s="47">
        <f t="shared" si="833"/>
        <v>173.99253121083089</v>
      </c>
      <c r="T569" s="1">
        <f t="shared" si="834"/>
        <v>65.866556699628802</v>
      </c>
      <c r="U569" s="47">
        <f t="shared" si="835"/>
        <v>65.757555039548961</v>
      </c>
      <c r="V569" s="47">
        <f t="shared" si="836"/>
        <v>145.09887814715472</v>
      </c>
      <c r="W569" s="2">
        <f t="shared" si="808"/>
        <v>999.95084614663608</v>
      </c>
      <c r="X569" s="1">
        <f t="shared" si="837"/>
        <v>91.546635934244847</v>
      </c>
      <c r="Y569" s="1">
        <f t="shared" si="838"/>
        <v>17.571664085464434</v>
      </c>
      <c r="Z569" s="2">
        <f t="shared" si="839"/>
        <v>3.7212493974467056</v>
      </c>
      <c r="AA569" s="3">
        <f t="shared" si="840"/>
        <v>1000</v>
      </c>
      <c r="AB569" s="1">
        <f t="shared" si="783"/>
        <v>4.9156269583905399E-5</v>
      </c>
      <c r="AC569" s="1">
        <f t="shared" si="844"/>
        <v>0</v>
      </c>
      <c r="AD569" s="64">
        <f t="shared" si="784"/>
        <v>0</v>
      </c>
      <c r="AE569" s="1">
        <f t="shared" si="843"/>
        <v>18.040315725957736</v>
      </c>
    </row>
    <row r="570" spans="1:31" ht="13.5" customHeight="1">
      <c r="K570" s="47"/>
      <c r="L570" s="47"/>
      <c r="M570" s="47"/>
      <c r="N570" s="47">
        <f>SUM(N560:N569)</f>
        <v>6020.1578629788683</v>
      </c>
      <c r="O570" s="2" t="s">
        <v>46</v>
      </c>
      <c r="P570" s="2"/>
      <c r="Q570" s="2"/>
      <c r="R570" s="49">
        <f>R550</f>
        <v>75</v>
      </c>
      <c r="S570" s="50" t="s">
        <v>45</v>
      </c>
      <c r="T570" s="2"/>
      <c r="U570" s="11">
        <f>U569</f>
        <v>65.757555039548961</v>
      </c>
      <c r="V570" s="47"/>
      <c r="W570" s="2"/>
      <c r="Y570" s="1">
        <f>N571</f>
        <v>18.040315725957736</v>
      </c>
      <c r="AE570" s="1">
        <f t="shared" si="843"/>
        <v>18.040315725957736</v>
      </c>
    </row>
    <row r="571" spans="1:31" ht="13.5" customHeight="1">
      <c r="K571" s="47"/>
      <c r="L571" s="2" t="s">
        <v>44</v>
      </c>
      <c r="M571" s="2"/>
      <c r="N571" s="47">
        <f>N570*2/1000+Y571</f>
        <v>18.040315725957736</v>
      </c>
      <c r="O571" s="2" t="s">
        <v>1</v>
      </c>
      <c r="P571" s="1">
        <f>SUM(P560:P569)</f>
        <v>65.792698480505365</v>
      </c>
      <c r="Q571" s="1" t="s">
        <v>43</v>
      </c>
      <c r="S571" s="47"/>
      <c r="U571" s="47"/>
      <c r="V571" s="47"/>
      <c r="W571" s="2"/>
      <c r="Y571" s="3">
        <f>Y551</f>
        <v>6</v>
      </c>
      <c r="Z571" s="3" t="s">
        <v>42</v>
      </c>
      <c r="AE571" s="1">
        <f>N571</f>
        <v>18.040315725957736</v>
      </c>
    </row>
    <row r="572" spans="1:31" ht="13.5" customHeight="1">
      <c r="L572" s="60" t="s">
        <v>41</v>
      </c>
      <c r="N572" s="3">
        <f>N552</f>
        <v>15</v>
      </c>
      <c r="O572" s="1" t="s">
        <v>1</v>
      </c>
    </row>
    <row r="575" spans="1:31" ht="13.5" customHeight="1" thickBot="1"/>
    <row r="576" spans="1:31" ht="13.5" customHeight="1">
      <c r="B576" s="14" t="s">
        <v>40</v>
      </c>
      <c r="C576" s="15"/>
      <c r="D576" s="15"/>
      <c r="E576" s="15"/>
      <c r="F576" s="15"/>
      <c r="G576" s="15"/>
      <c r="H576" s="15" t="s">
        <v>39</v>
      </c>
      <c r="I576" s="16"/>
      <c r="J576" s="14" t="s">
        <v>38</v>
      </c>
      <c r="K576" s="15"/>
      <c r="L576" s="15"/>
      <c r="M576" s="15"/>
      <c r="N576" s="15" t="s">
        <v>37</v>
      </c>
      <c r="O576" s="15"/>
      <c r="P576" s="15"/>
      <c r="Q576" s="15"/>
      <c r="R576" s="15"/>
      <c r="S576" s="16"/>
      <c r="T576" s="14" t="s">
        <v>36</v>
      </c>
      <c r="U576" s="15"/>
      <c r="V576" s="16"/>
      <c r="W576" s="14"/>
      <c r="X576" s="15"/>
      <c r="Y576" s="15"/>
      <c r="Z576" s="16"/>
    </row>
    <row r="577" spans="1:31" ht="13.5" customHeight="1">
      <c r="B577" s="17" t="s">
        <v>35</v>
      </c>
      <c r="C577" s="18" t="s">
        <v>22</v>
      </c>
      <c r="D577" s="18"/>
      <c r="E577" s="18" t="s">
        <v>34</v>
      </c>
      <c r="F577" s="18" t="s">
        <v>33</v>
      </c>
      <c r="G577" s="18" t="s">
        <v>7</v>
      </c>
      <c r="H577" s="18" t="s">
        <v>32</v>
      </c>
      <c r="I577" s="19" t="s">
        <v>22</v>
      </c>
      <c r="J577" s="17" t="s">
        <v>31</v>
      </c>
      <c r="K577" s="18"/>
      <c r="L577" s="18" t="s">
        <v>30</v>
      </c>
      <c r="M577" s="18"/>
      <c r="N577" s="18" t="s">
        <v>29</v>
      </c>
      <c r="O577" s="18"/>
      <c r="P577" s="18" t="s">
        <v>28</v>
      </c>
      <c r="Q577" s="20" t="s">
        <v>27</v>
      </c>
      <c r="R577" s="21" t="s">
        <v>26</v>
      </c>
      <c r="S577" s="22" t="s">
        <v>7</v>
      </c>
      <c r="T577" s="23" t="s">
        <v>25</v>
      </c>
      <c r="U577" s="24" t="s">
        <v>24</v>
      </c>
      <c r="V577" s="25" t="s">
        <v>7</v>
      </c>
      <c r="W577" s="26" t="s">
        <v>23</v>
      </c>
      <c r="X577" s="4" t="s">
        <v>22</v>
      </c>
      <c r="Y577" s="4" t="s">
        <v>21</v>
      </c>
      <c r="Z577" s="5" t="s">
        <v>20</v>
      </c>
    </row>
    <row r="578" spans="1:31" ht="13.5" customHeight="1">
      <c r="B578" s="54" t="s">
        <v>3</v>
      </c>
      <c r="C578" s="28" t="s">
        <v>17</v>
      </c>
      <c r="D578" s="20" t="s">
        <v>13</v>
      </c>
      <c r="E578" s="20" t="s">
        <v>19</v>
      </c>
      <c r="F578" s="28" t="s">
        <v>19</v>
      </c>
      <c r="G578" s="20" t="s">
        <v>3</v>
      </c>
      <c r="H578" s="20" t="s">
        <v>19</v>
      </c>
      <c r="I578" s="29" t="s">
        <v>12</v>
      </c>
      <c r="J578" s="55" t="s">
        <v>18</v>
      </c>
      <c r="K578" s="20" t="s">
        <v>17</v>
      </c>
      <c r="L578" s="56" t="s">
        <v>16</v>
      </c>
      <c r="M578" s="20" t="s">
        <v>15</v>
      </c>
      <c r="N578" s="20" t="s">
        <v>14</v>
      </c>
      <c r="O578" s="20" t="s">
        <v>13</v>
      </c>
      <c r="P578" s="20" t="s">
        <v>12</v>
      </c>
      <c r="Q578" s="20" t="s">
        <v>11</v>
      </c>
      <c r="R578" s="21" t="s">
        <v>11</v>
      </c>
      <c r="S578" s="22" t="s">
        <v>10</v>
      </c>
      <c r="T578" s="23" t="s">
        <v>9</v>
      </c>
      <c r="U578" s="24" t="s">
        <v>9</v>
      </c>
      <c r="V578" s="33" t="s">
        <v>8</v>
      </c>
      <c r="W578" s="34" t="s">
        <v>7</v>
      </c>
      <c r="X578" s="4" t="s">
        <v>6</v>
      </c>
      <c r="Y578" s="6" t="s">
        <v>5</v>
      </c>
      <c r="Z578" s="7" t="s">
        <v>5</v>
      </c>
    </row>
    <row r="579" spans="1:31" ht="13.5" customHeight="1" thickBot="1">
      <c r="B579" s="57"/>
      <c r="C579" s="3">
        <f>C559</f>
        <v>1.05</v>
      </c>
      <c r="D579" s="37"/>
      <c r="E579" s="38"/>
      <c r="F579" s="38"/>
      <c r="G579" s="37"/>
      <c r="H579" s="37"/>
      <c r="I579" s="39"/>
      <c r="J579" s="58" t="s">
        <v>4</v>
      </c>
      <c r="K579" s="44"/>
      <c r="L579" s="59"/>
      <c r="M579" s="37"/>
      <c r="N579" s="37"/>
      <c r="O579" s="37"/>
      <c r="P579" s="37"/>
      <c r="Q579" s="42"/>
      <c r="R579" s="42"/>
      <c r="S579" s="52" t="s">
        <v>3</v>
      </c>
      <c r="T579" s="43"/>
      <c r="U579" s="44"/>
      <c r="V579" s="39" t="s">
        <v>3</v>
      </c>
      <c r="W579" s="45" t="s">
        <v>3</v>
      </c>
      <c r="X579" s="8" t="s">
        <v>2</v>
      </c>
      <c r="Y579" s="9" t="s">
        <v>1</v>
      </c>
      <c r="Z579" s="13" t="s">
        <v>0</v>
      </c>
    </row>
    <row r="580" spans="1:31" ht="13.5" customHeight="1">
      <c r="A580" s="1">
        <v>1</v>
      </c>
      <c r="B580" s="3">
        <f t="shared" ref="B580:B589" si="845">B560</f>
        <v>1000</v>
      </c>
      <c r="C580" s="1">
        <f t="shared" ref="C580:C589" si="846">IF(B580&lt;1,0.000001,C560*(1+AB560))</f>
        <v>4.3065950644292694E-2</v>
      </c>
      <c r="D580" s="1">
        <f t="shared" si="789"/>
        <v>0.89656743184327925</v>
      </c>
      <c r="E580" s="1">
        <f t="shared" ref="E580:E589" si="847">R580</f>
        <v>73.17972126693212</v>
      </c>
      <c r="F580" s="1">
        <f t="shared" ref="F580:F589" si="848">F560</f>
        <v>20</v>
      </c>
      <c r="G580" s="1">
        <f t="shared" ref="G580:G589" si="849">(E580-F580)*C580*(1-D580)*4200</f>
        <v>994.91663767065438</v>
      </c>
      <c r="H580" s="1">
        <f t="shared" ref="H580:H589" si="850">(E580-F580)*D580+F580</f>
        <v>67.679206122434749</v>
      </c>
      <c r="I580" s="1">
        <f t="shared" ref="I580:I589" si="851">B580*0.001*6/C580</f>
        <v>139.32120179019313</v>
      </c>
      <c r="J580" s="3">
        <f t="shared" ref="J580:J589" si="852">J560</f>
        <v>10</v>
      </c>
      <c r="K580" s="47">
        <f t="shared" ref="K580:K589" si="853">K579+C580</f>
        <v>4.3065950644292694E-2</v>
      </c>
      <c r="L580" s="3">
        <f t="shared" ref="L580:L589" si="854">L560</f>
        <v>3</v>
      </c>
      <c r="M580" s="47">
        <f t="shared" ref="M580:M589" si="855">K580/(J580*J580*3.14/4000)</f>
        <v>0.54861083623302798</v>
      </c>
      <c r="N580" s="47">
        <f t="shared" ref="N580:N589" si="856">L580*26400/J580^1.27*M580^1.83*$N$69</f>
        <v>1772.1032126670138</v>
      </c>
      <c r="O580" s="1">
        <f t="shared" ref="O580:O589" si="857">EXP(-(J580+2)*3.14/1000*$O$66/(M580*J580*J580*3.14/4000*4200)*L580)</f>
        <v>0.99376993677458692</v>
      </c>
      <c r="P580" s="1">
        <f t="shared" ref="P580:P589" si="858">L580/M580</f>
        <v>5.4683571702650795</v>
      </c>
      <c r="Q580" s="1">
        <f t="shared" ref="Q580:Q589" si="859">R581</f>
        <v>73.513111333931079</v>
      </c>
      <c r="R580" s="1">
        <f t="shared" ref="R580:R589" si="860">(Q580-F580)*O580+F580</f>
        <v>73.17972126693212</v>
      </c>
      <c r="S580" s="47">
        <f t="shared" ref="S580:S589" si="861">K580*(1-O580)*4200*(Q580-F580)</f>
        <v>60.302592716833551</v>
      </c>
      <c r="T580" s="1">
        <f t="shared" ref="T580:T589" si="862">(U579*K579+H580*C580)/K580</f>
        <v>67.679206122434749</v>
      </c>
      <c r="U580" s="47">
        <f t="shared" ref="U580:U589" si="863">(T580-F580)*O580+F580</f>
        <v>67.38216165375448</v>
      </c>
      <c r="V580" s="47">
        <f t="shared" ref="V580:V589" si="864">K580*(1-O580)*4200*(T580-F580)</f>
        <v>53.728510194847765</v>
      </c>
      <c r="W580" s="2">
        <f t="shared" si="808"/>
        <v>994.92663767065437</v>
      </c>
      <c r="X580" s="1">
        <f t="shared" ref="X580:X589" si="865">C580*3600</f>
        <v>155.0374223194537</v>
      </c>
      <c r="Y580" s="1">
        <f t="shared" ref="Y580:Y589" si="866">Y581-2*N580/1000</f>
        <v>6.0000000000000009</v>
      </c>
      <c r="Z580" s="2">
        <f t="shared" ref="Z580:Z589" si="867">-1.1-1.8*LOG10(Y580/X580/X580)</f>
        <v>5.384899290095392</v>
      </c>
      <c r="AA580" s="3">
        <f t="shared" ref="AA580:AA589" si="868">AA560</f>
        <v>1000</v>
      </c>
      <c r="AB580" s="1">
        <f t="shared" ref="AB580" si="869">((AA580/W580)-1)*AB$23+AC580+AD580</f>
        <v>5.099232583845037E-3</v>
      </c>
      <c r="AC580" s="1">
        <f>((N592/N591)-1)*AB$24</f>
        <v>0</v>
      </c>
      <c r="AD580" s="64">
        <f t="shared" ref="AD580" si="870">(AC$21-(X580/1000/SQRT(Y580/104))*1000/B580)*AB$21</f>
        <v>0</v>
      </c>
      <c r="AE580" s="1">
        <f t="shared" ref="AE580:AE590" si="871">AE581</f>
        <v>18.134423655094807</v>
      </c>
    </row>
    <row r="581" spans="1:31" ht="13.5" customHeight="1">
      <c r="A581" s="1">
        <v>2</v>
      </c>
      <c r="B581" s="3">
        <f t="shared" si="845"/>
        <v>1000</v>
      </c>
      <c r="C581" s="1">
        <f t="shared" si="846"/>
        <v>3.8116551444132452E-2</v>
      </c>
      <c r="D581" s="1">
        <f t="shared" si="789"/>
        <v>0.88369200154568994</v>
      </c>
      <c r="E581" s="1">
        <f t="shared" si="847"/>
        <v>73.513111333931079</v>
      </c>
      <c r="F581" s="1">
        <f t="shared" si="848"/>
        <v>20</v>
      </c>
      <c r="G581" s="1">
        <f t="shared" si="849"/>
        <v>996.39760749766515</v>
      </c>
      <c r="H581" s="1">
        <f t="shared" si="850"/>
        <v>67.289108463618902</v>
      </c>
      <c r="I581" s="1">
        <f t="shared" si="851"/>
        <v>157.41193189510386</v>
      </c>
      <c r="J581" s="3">
        <f t="shared" si="852"/>
        <v>14.142135623730951</v>
      </c>
      <c r="K581" s="47">
        <f t="shared" si="853"/>
        <v>8.1182502088425146E-2</v>
      </c>
      <c r="L581" s="3">
        <f t="shared" si="854"/>
        <v>3</v>
      </c>
      <c r="M581" s="47">
        <f t="shared" si="855"/>
        <v>0.51708600056321741</v>
      </c>
      <c r="N581" s="47">
        <f t="shared" si="856"/>
        <v>1024.0025418865914</v>
      </c>
      <c r="O581" s="1">
        <f t="shared" si="857"/>
        <v>0.99555028564852677</v>
      </c>
      <c r="P581" s="1">
        <f t="shared" si="858"/>
        <v>5.8017428372308615</v>
      </c>
      <c r="Q581" s="1">
        <f t="shared" si="859"/>
        <v>73.752293686572827</v>
      </c>
      <c r="R581" s="1">
        <f t="shared" si="860"/>
        <v>73.513111333931079</v>
      </c>
      <c r="S581" s="47">
        <f t="shared" si="861"/>
        <v>81.553171739982929</v>
      </c>
      <c r="T581" s="1">
        <f t="shared" si="862"/>
        <v>67.338471614428272</v>
      </c>
      <c r="U581" s="47">
        <f t="shared" si="863"/>
        <v>67.127828937908745</v>
      </c>
      <c r="V581" s="47">
        <f t="shared" si="864"/>
        <v>71.822098011124382</v>
      </c>
      <c r="W581" s="2">
        <f t="shared" si="808"/>
        <v>996.40760749766514</v>
      </c>
      <c r="X581" s="1">
        <f t="shared" si="865"/>
        <v>137.21958519887681</v>
      </c>
      <c r="Y581" s="1">
        <f t="shared" si="866"/>
        <v>9.5442064253340284</v>
      </c>
      <c r="Z581" s="2">
        <f t="shared" si="867"/>
        <v>4.8311662848904451</v>
      </c>
      <c r="AA581" s="3">
        <f t="shared" si="868"/>
        <v>1000</v>
      </c>
      <c r="AB581" s="1">
        <f t="shared" si="783"/>
        <v>3.6053443142176622E-3</v>
      </c>
      <c r="AC581" s="1">
        <f t="shared" ref="AC581:AC589" si="872">AC580</f>
        <v>0</v>
      </c>
      <c r="AD581" s="64">
        <f t="shared" si="784"/>
        <v>0</v>
      </c>
      <c r="AE581" s="1">
        <f t="shared" si="871"/>
        <v>18.134423655094807</v>
      </c>
    </row>
    <row r="582" spans="1:31" ht="13.5" customHeight="1">
      <c r="A582" s="1">
        <v>3</v>
      </c>
      <c r="B582" s="3">
        <f t="shared" si="845"/>
        <v>1000</v>
      </c>
      <c r="C582" s="1">
        <f t="shared" si="846"/>
        <v>3.5136683631834552E-2</v>
      </c>
      <c r="D582" s="1">
        <f t="shared" si="789"/>
        <v>0.87427800908713971</v>
      </c>
      <c r="E582" s="1">
        <f t="shared" si="847"/>
        <v>73.752293686572827</v>
      </c>
      <c r="F582" s="1">
        <f t="shared" si="848"/>
        <v>20</v>
      </c>
      <c r="G582" s="1">
        <f t="shared" si="849"/>
        <v>997.28275539480831</v>
      </c>
      <c r="H582" s="1">
        <f t="shared" si="850"/>
        <v>66.994448308164124</v>
      </c>
      <c r="I582" s="1">
        <f t="shared" si="851"/>
        <v>170.76170485719595</v>
      </c>
      <c r="J582" s="3">
        <f t="shared" si="852"/>
        <v>17.320508075688775</v>
      </c>
      <c r="K582" s="47">
        <f t="shared" si="853"/>
        <v>0.1163191857202597</v>
      </c>
      <c r="L582" s="3">
        <f t="shared" si="854"/>
        <v>3</v>
      </c>
      <c r="M582" s="47">
        <f t="shared" si="855"/>
        <v>0.49392435550004105</v>
      </c>
      <c r="N582" s="47">
        <f t="shared" si="856"/>
        <v>727.88338552080575</v>
      </c>
      <c r="O582" s="1">
        <f t="shared" si="857"/>
        <v>0.99628156580218363</v>
      </c>
      <c r="P582" s="1">
        <f t="shared" si="858"/>
        <v>6.0738045544703869</v>
      </c>
      <c r="Q582" s="1">
        <f t="shared" si="859"/>
        <v>73.952914047237925</v>
      </c>
      <c r="R582" s="1">
        <f t="shared" si="860"/>
        <v>73.752293686572827</v>
      </c>
      <c r="S582" s="47">
        <f t="shared" si="861"/>
        <v>98.01118736416916</v>
      </c>
      <c r="T582" s="1">
        <f t="shared" si="862"/>
        <v>67.087538482289304</v>
      </c>
      <c r="U582" s="47">
        <f t="shared" si="863"/>
        <v>66.912446568905764</v>
      </c>
      <c r="V582" s="47">
        <f t="shared" si="864"/>
        <v>85.539504922096967</v>
      </c>
      <c r="W582" s="2">
        <f t="shared" si="808"/>
        <v>997.2927553948083</v>
      </c>
      <c r="X582" s="1">
        <f t="shared" si="865"/>
        <v>126.49206107460439</v>
      </c>
      <c r="Y582" s="1">
        <f t="shared" si="866"/>
        <v>11.59221150910721</v>
      </c>
      <c r="Z582" s="2">
        <f t="shared" si="867"/>
        <v>4.5519284348080884</v>
      </c>
      <c r="AA582" s="3">
        <f t="shared" si="868"/>
        <v>1000</v>
      </c>
      <c r="AB582" s="1">
        <f t="shared" si="783"/>
        <v>2.7145936742716259E-3</v>
      </c>
      <c r="AC582" s="1">
        <f t="shared" si="872"/>
        <v>0</v>
      </c>
      <c r="AD582" s="64">
        <f t="shared" si="784"/>
        <v>0</v>
      </c>
      <c r="AE582" s="1">
        <f t="shared" si="871"/>
        <v>18.134423655094807</v>
      </c>
    </row>
    <row r="583" spans="1:31" ht="13.5" customHeight="1">
      <c r="A583" s="1">
        <v>4</v>
      </c>
      <c r="B583" s="3">
        <f t="shared" si="845"/>
        <v>1000</v>
      </c>
      <c r="C583" s="1">
        <f t="shared" si="846"/>
        <v>3.2938537785896491E-2</v>
      </c>
      <c r="D583" s="1">
        <f t="shared" si="789"/>
        <v>0.86630041682692338</v>
      </c>
      <c r="E583" s="1">
        <f t="shared" si="847"/>
        <v>73.952914047237925</v>
      </c>
      <c r="F583" s="1">
        <f t="shared" si="848"/>
        <v>20</v>
      </c>
      <c r="G583" s="1">
        <f t="shared" si="849"/>
        <v>997.92652405944364</v>
      </c>
      <c r="H583" s="1">
        <f t="shared" si="850"/>
        <v>66.739431928149386</v>
      </c>
      <c r="I583" s="1">
        <f t="shared" si="851"/>
        <v>182.15744848786395</v>
      </c>
      <c r="J583" s="3">
        <f t="shared" si="852"/>
        <v>20</v>
      </c>
      <c r="K583" s="47">
        <f t="shared" si="853"/>
        <v>0.14925772350615618</v>
      </c>
      <c r="L583" s="3">
        <f t="shared" si="854"/>
        <v>3</v>
      </c>
      <c r="M583" s="47">
        <f t="shared" si="855"/>
        <v>0.47534306849094327</v>
      </c>
      <c r="N583" s="47">
        <f t="shared" si="856"/>
        <v>565.2625491518429</v>
      </c>
      <c r="O583" s="1">
        <f t="shared" si="857"/>
        <v>0.99669957541010823</v>
      </c>
      <c r="P583" s="1">
        <f t="shared" si="858"/>
        <v>6.3112311903989804</v>
      </c>
      <c r="Q583" s="1">
        <f t="shared" si="859"/>
        <v>74.131571215968592</v>
      </c>
      <c r="R583" s="1">
        <f t="shared" si="860"/>
        <v>73.952914047237925</v>
      </c>
      <c r="S583" s="47">
        <f t="shared" si="861"/>
        <v>111.99704162973308</v>
      </c>
      <c r="T583" s="1">
        <f t="shared" si="862"/>
        <v>66.874265299969082</v>
      </c>
      <c r="U583" s="47">
        <f t="shared" si="863"/>
        <v>66.719560322139955</v>
      </c>
      <c r="V583" s="47">
        <f t="shared" si="864"/>
        <v>96.981833784553558</v>
      </c>
      <c r="W583" s="2">
        <f t="shared" si="808"/>
        <v>997.93652405944363</v>
      </c>
      <c r="X583" s="1">
        <f t="shared" si="865"/>
        <v>118.57873602922737</v>
      </c>
      <c r="Y583" s="1">
        <f t="shared" si="866"/>
        <v>13.047978280148822</v>
      </c>
      <c r="Z583" s="2">
        <f t="shared" si="867"/>
        <v>4.3584467350916789</v>
      </c>
      <c r="AA583" s="3">
        <f t="shared" si="868"/>
        <v>1000</v>
      </c>
      <c r="AB583" s="1">
        <f t="shared" si="783"/>
        <v>2.067742677823281E-3</v>
      </c>
      <c r="AC583" s="1">
        <f t="shared" si="872"/>
        <v>0</v>
      </c>
      <c r="AD583" s="64">
        <f t="shared" si="784"/>
        <v>0</v>
      </c>
      <c r="AE583" s="1">
        <f t="shared" si="871"/>
        <v>18.134423655094807</v>
      </c>
    </row>
    <row r="584" spans="1:31" ht="13.5" customHeight="1">
      <c r="A584" s="1">
        <v>5</v>
      </c>
      <c r="B584" s="3">
        <f t="shared" si="845"/>
        <v>1000</v>
      </c>
      <c r="C584" s="1">
        <f t="shared" si="846"/>
        <v>3.117884883518347E-2</v>
      </c>
      <c r="D584" s="1">
        <f t="shared" si="789"/>
        <v>0.85914951899240144</v>
      </c>
      <c r="E584" s="1">
        <f t="shared" si="847"/>
        <v>74.131571215968592</v>
      </c>
      <c r="F584" s="1">
        <f t="shared" si="848"/>
        <v>20</v>
      </c>
      <c r="G584" s="1">
        <f t="shared" si="849"/>
        <v>998.43163791698566</v>
      </c>
      <c r="H584" s="1">
        <f t="shared" si="850"/>
        <v>66.507113372502346</v>
      </c>
      <c r="I584" s="1">
        <f t="shared" si="851"/>
        <v>192.43815035368971</v>
      </c>
      <c r="J584" s="3">
        <f t="shared" si="852"/>
        <v>22.360679774997898</v>
      </c>
      <c r="K584" s="47">
        <f t="shared" si="853"/>
        <v>0.18043657234133964</v>
      </c>
      <c r="L584" s="3">
        <f t="shared" si="854"/>
        <v>3</v>
      </c>
      <c r="M584" s="47">
        <f t="shared" si="855"/>
        <v>0.45971101233462319</v>
      </c>
      <c r="N584" s="47">
        <f t="shared" si="856"/>
        <v>461.46272074654678</v>
      </c>
      <c r="O584" s="1">
        <f t="shared" si="857"/>
        <v>0.99697650625160406</v>
      </c>
      <c r="P584" s="1">
        <f t="shared" si="858"/>
        <v>6.5258388846606596</v>
      </c>
      <c r="Q584" s="1">
        <f t="shared" si="859"/>
        <v>74.295734028367932</v>
      </c>
      <c r="R584" s="1">
        <f t="shared" si="860"/>
        <v>74.131571215968592</v>
      </c>
      <c r="S584" s="47">
        <f t="shared" si="861"/>
        <v>124.40809573605493</v>
      </c>
      <c r="T584" s="1">
        <f t="shared" si="862"/>
        <v>66.682850184930544</v>
      </c>
      <c r="U584" s="47">
        <f t="shared" si="863"/>
        <v>66.541704879239091</v>
      </c>
      <c r="V584" s="47">
        <f t="shared" si="864"/>
        <v>106.96465567634435</v>
      </c>
      <c r="W584" s="2">
        <f t="shared" si="808"/>
        <v>998.44163791698566</v>
      </c>
      <c r="X584" s="1">
        <f t="shared" si="865"/>
        <v>112.24385580666049</v>
      </c>
      <c r="Y584" s="1">
        <f t="shared" si="866"/>
        <v>14.178503378452508</v>
      </c>
      <c r="Z584" s="2">
        <f t="shared" si="867"/>
        <v>4.2076505740263652</v>
      </c>
      <c r="AA584" s="3">
        <f t="shared" si="868"/>
        <v>1000</v>
      </c>
      <c r="AB584" s="1">
        <f t="shared" ref="AB584:AB647" si="873">((AA584/W584)-1)*AB$23+AC584+AD584</f>
        <v>1.560794365773388E-3</v>
      </c>
      <c r="AC584" s="1">
        <f t="shared" si="872"/>
        <v>0</v>
      </c>
      <c r="AD584" s="64">
        <f t="shared" ref="AD584:AD647" si="874">(AC$21-(X584/1000/SQRT(Y584/104))*1000/B584)*AB$21</f>
        <v>0</v>
      </c>
      <c r="AE584" s="1">
        <f t="shared" si="871"/>
        <v>18.134423655094807</v>
      </c>
    </row>
    <row r="585" spans="1:31" ht="13.5" customHeight="1">
      <c r="A585" s="1">
        <v>6</v>
      </c>
      <c r="B585" s="3">
        <f t="shared" si="845"/>
        <v>1000</v>
      </c>
      <c r="C585" s="1">
        <f t="shared" si="846"/>
        <v>2.970560376401566E-2</v>
      </c>
      <c r="D585" s="1">
        <f t="shared" si="789"/>
        <v>0.85255015539390178</v>
      </c>
      <c r="E585" s="1">
        <f t="shared" si="847"/>
        <v>74.295734028367932</v>
      </c>
      <c r="F585" s="1">
        <f t="shared" si="848"/>
        <v>20</v>
      </c>
      <c r="G585" s="1">
        <f t="shared" si="849"/>
        <v>998.84408506976865</v>
      </c>
      <c r="H585" s="1">
        <f t="shared" si="850"/>
        <v>66.289836483111031</v>
      </c>
      <c r="I585" s="1">
        <f t="shared" si="851"/>
        <v>201.98209225655236</v>
      </c>
      <c r="J585" s="3">
        <f t="shared" si="852"/>
        <v>24.494897427831781</v>
      </c>
      <c r="K585" s="47">
        <f t="shared" si="853"/>
        <v>0.21014217610535529</v>
      </c>
      <c r="L585" s="3">
        <f t="shared" si="854"/>
        <v>3</v>
      </c>
      <c r="M585" s="47">
        <f t="shared" si="855"/>
        <v>0.44616173270776072</v>
      </c>
      <c r="N585" s="47">
        <f t="shared" si="856"/>
        <v>389.11689945189869</v>
      </c>
      <c r="O585" s="1">
        <f t="shared" si="857"/>
        <v>0.99717618186712786</v>
      </c>
      <c r="P585" s="1">
        <f t="shared" si="858"/>
        <v>6.7240190721713518</v>
      </c>
      <c r="Q585" s="1">
        <f t="shared" si="859"/>
        <v>74.449489484098763</v>
      </c>
      <c r="R585" s="1">
        <f t="shared" si="860"/>
        <v>74.295734028367932</v>
      </c>
      <c r="S585" s="47">
        <f t="shared" si="861"/>
        <v>135.70412543245729</v>
      </c>
      <c r="T585" s="1">
        <f t="shared" si="862"/>
        <v>66.506100875727171</v>
      </c>
      <c r="U585" s="47">
        <f t="shared" si="863"/>
        <v>66.374776104785113</v>
      </c>
      <c r="V585" s="47">
        <f t="shared" si="864"/>
        <v>115.90686719766683</v>
      </c>
      <c r="W585" s="2">
        <f t="shared" si="808"/>
        <v>998.85408506976864</v>
      </c>
      <c r="X585" s="1">
        <f t="shared" si="865"/>
        <v>106.94017355045638</v>
      </c>
      <c r="Y585" s="1">
        <f t="shared" si="866"/>
        <v>15.101428819945601</v>
      </c>
      <c r="Z585" s="2">
        <f t="shared" si="867"/>
        <v>4.0826747125257619</v>
      </c>
      <c r="AA585" s="3">
        <f t="shared" si="868"/>
        <v>1000</v>
      </c>
      <c r="AB585" s="1">
        <f t="shared" si="873"/>
        <v>1.1472295577099612E-3</v>
      </c>
      <c r="AC585" s="1">
        <f t="shared" si="872"/>
        <v>0</v>
      </c>
      <c r="AD585" s="64">
        <f t="shared" si="874"/>
        <v>0</v>
      </c>
      <c r="AE585" s="1">
        <f t="shared" si="871"/>
        <v>18.134423655094807</v>
      </c>
    </row>
    <row r="586" spans="1:31" ht="13.5" customHeight="1">
      <c r="A586" s="1">
        <v>7</v>
      </c>
      <c r="B586" s="3">
        <f t="shared" si="845"/>
        <v>1000</v>
      </c>
      <c r="C586" s="1">
        <f t="shared" si="846"/>
        <v>2.8436532798205079E-2</v>
      </c>
      <c r="D586" s="1">
        <f t="shared" si="789"/>
        <v>0.84635163363895571</v>
      </c>
      <c r="E586" s="1">
        <f t="shared" si="847"/>
        <v>74.449489484098763</v>
      </c>
      <c r="F586" s="1">
        <f t="shared" si="848"/>
        <v>20</v>
      </c>
      <c r="G586" s="1">
        <f t="shared" si="849"/>
        <v>999.18911069444971</v>
      </c>
      <c r="H586" s="1">
        <f t="shared" si="850"/>
        <v>66.083414375674124</v>
      </c>
      <c r="I586" s="1">
        <f t="shared" si="851"/>
        <v>210.99618728408132</v>
      </c>
      <c r="J586" s="3">
        <f t="shared" si="852"/>
        <v>26.457513110645905</v>
      </c>
      <c r="K586" s="47">
        <f t="shared" si="853"/>
        <v>0.23857870890356037</v>
      </c>
      <c r="L586" s="3">
        <f t="shared" si="854"/>
        <v>3</v>
      </c>
      <c r="M586" s="47">
        <f t="shared" si="855"/>
        <v>0.43417417452877227</v>
      </c>
      <c r="N586" s="47">
        <f t="shared" si="856"/>
        <v>335.67812128608637</v>
      </c>
      <c r="O586" s="1">
        <f t="shared" si="857"/>
        <v>0.99732830993187893</v>
      </c>
      <c r="P586" s="1">
        <f t="shared" si="858"/>
        <v>6.9096693815472277</v>
      </c>
      <c r="Q586" s="1">
        <f t="shared" si="859"/>
        <v>74.595351342044893</v>
      </c>
      <c r="R586" s="1">
        <f t="shared" si="860"/>
        <v>74.449489484098763</v>
      </c>
      <c r="S586" s="47">
        <f t="shared" si="861"/>
        <v>146.15804173765292</v>
      </c>
      <c r="T586" s="1">
        <f t="shared" si="862"/>
        <v>66.340048289364859</v>
      </c>
      <c r="U586" s="47">
        <f t="shared" si="863"/>
        <v>66.216242042593905</v>
      </c>
      <c r="V586" s="47">
        <f t="shared" si="864"/>
        <v>124.05764493699395</v>
      </c>
      <c r="W586" s="2">
        <f t="shared" si="808"/>
        <v>999.1991106944497</v>
      </c>
      <c r="X586" s="1">
        <f t="shared" si="865"/>
        <v>102.37151807353828</v>
      </c>
      <c r="Y586" s="1">
        <f t="shared" si="866"/>
        <v>15.879662618849398</v>
      </c>
      <c r="Z586" s="2">
        <f t="shared" si="867"/>
        <v>3.9751306286379662</v>
      </c>
      <c r="AA586" s="3">
        <f t="shared" si="868"/>
        <v>1000</v>
      </c>
      <c r="AB586" s="1">
        <f t="shared" si="873"/>
        <v>8.0153124335113901E-4</v>
      </c>
      <c r="AC586" s="1">
        <f t="shared" si="872"/>
        <v>0</v>
      </c>
      <c r="AD586" s="64">
        <f t="shared" si="874"/>
        <v>0</v>
      </c>
      <c r="AE586" s="1">
        <f t="shared" si="871"/>
        <v>18.134423655094807</v>
      </c>
    </row>
    <row r="587" spans="1:31" ht="13.5" customHeight="1">
      <c r="A587" s="1">
        <v>8</v>
      </c>
      <c r="B587" s="3">
        <f t="shared" si="845"/>
        <v>1000</v>
      </c>
      <c r="C587" s="1">
        <f t="shared" si="846"/>
        <v>2.7321472980365372E-2</v>
      </c>
      <c r="D587" s="1">
        <f t="shared" si="789"/>
        <v>0.84046129342103615</v>
      </c>
      <c r="E587" s="1">
        <f t="shared" si="847"/>
        <v>74.595351342044893</v>
      </c>
      <c r="F587" s="1">
        <f t="shared" si="848"/>
        <v>20</v>
      </c>
      <c r="G587" s="1">
        <f t="shared" si="849"/>
        <v>999.48235655492613</v>
      </c>
      <c r="H587" s="1">
        <f t="shared" si="850"/>
        <v>65.885279603710956</v>
      </c>
      <c r="I587" s="1">
        <f t="shared" si="851"/>
        <v>219.60748618172641</v>
      </c>
      <c r="J587" s="3">
        <f t="shared" si="852"/>
        <v>28.284271247461902</v>
      </c>
      <c r="K587" s="47">
        <f t="shared" si="853"/>
        <v>0.26590018188392572</v>
      </c>
      <c r="L587" s="3">
        <f t="shared" si="854"/>
        <v>3</v>
      </c>
      <c r="M587" s="47">
        <f t="shared" si="855"/>
        <v>0.42340793293618739</v>
      </c>
      <c r="N587" s="47">
        <f t="shared" si="856"/>
        <v>294.5384559326659</v>
      </c>
      <c r="O587" s="1">
        <f t="shared" si="857"/>
        <v>0.99744879399640451</v>
      </c>
      <c r="P587" s="1">
        <f t="shared" si="858"/>
        <v>7.0853655934031252</v>
      </c>
      <c r="Q587" s="1">
        <f t="shared" si="859"/>
        <v>74.734991581173531</v>
      </c>
      <c r="R587" s="1">
        <f t="shared" si="860"/>
        <v>74.595351342044893</v>
      </c>
      <c r="S587" s="47">
        <f t="shared" si="861"/>
        <v>155.94753292700312</v>
      </c>
      <c r="T587" s="1">
        <f t="shared" si="862"/>
        <v>66.182235366602228</v>
      </c>
      <c r="U587" s="47">
        <f t="shared" si="863"/>
        <v>66.064414970475497</v>
      </c>
      <c r="V587" s="47">
        <f t="shared" si="864"/>
        <v>131.57955199088744</v>
      </c>
      <c r="W587" s="2">
        <f t="shared" si="808"/>
        <v>999.49235655492612</v>
      </c>
      <c r="X587" s="1">
        <f t="shared" si="865"/>
        <v>98.357302729315336</v>
      </c>
      <c r="Y587" s="1">
        <f t="shared" si="866"/>
        <v>16.551018861421571</v>
      </c>
      <c r="Z587" s="2">
        <f t="shared" si="867"/>
        <v>3.8802192772948367</v>
      </c>
      <c r="AA587" s="3">
        <f t="shared" si="868"/>
        <v>1000</v>
      </c>
      <c r="AB587" s="1">
        <f t="shared" si="873"/>
        <v>5.0790127782840422E-4</v>
      </c>
      <c r="AC587" s="1">
        <f t="shared" si="872"/>
        <v>0</v>
      </c>
      <c r="AD587" s="64">
        <f t="shared" si="874"/>
        <v>0</v>
      </c>
      <c r="AE587" s="1">
        <f t="shared" si="871"/>
        <v>18.134423655094807</v>
      </c>
    </row>
    <row r="588" spans="1:31" ht="13.5" customHeight="1">
      <c r="A588" s="1">
        <v>9</v>
      </c>
      <c r="B588" s="3">
        <f t="shared" si="845"/>
        <v>1000</v>
      </c>
      <c r="C588" s="1">
        <f t="shared" si="846"/>
        <v>2.6327303537217014E-2</v>
      </c>
      <c r="D588" s="1">
        <f t="shared" si="789"/>
        <v>0.83481755943472813</v>
      </c>
      <c r="E588" s="1">
        <f t="shared" si="847"/>
        <v>74.734991581173531</v>
      </c>
      <c r="F588" s="1">
        <f t="shared" si="848"/>
        <v>20</v>
      </c>
      <c r="G588" s="1">
        <f t="shared" si="849"/>
        <v>999.73432880717928</v>
      </c>
      <c r="H588" s="1">
        <f t="shared" si="850"/>
        <v>65.693732087475681</v>
      </c>
      <c r="I588" s="1">
        <f t="shared" si="851"/>
        <v>227.90028578195378</v>
      </c>
      <c r="J588" s="3">
        <f t="shared" si="852"/>
        <v>30</v>
      </c>
      <c r="K588" s="47">
        <f t="shared" si="853"/>
        <v>0.29222748542114274</v>
      </c>
      <c r="L588" s="3">
        <f t="shared" si="854"/>
        <v>3</v>
      </c>
      <c r="M588" s="47">
        <f t="shared" si="855"/>
        <v>0.41362701404266489</v>
      </c>
      <c r="N588" s="47">
        <f t="shared" si="856"/>
        <v>261.86983747764521</v>
      </c>
      <c r="O588" s="1">
        <f t="shared" si="857"/>
        <v>0.9975470012745753</v>
      </c>
      <c r="P588" s="1">
        <f t="shared" si="858"/>
        <v>7.252911193296856</v>
      </c>
      <c r="Q588" s="1">
        <f t="shared" si="859"/>
        <v>74.869586607185539</v>
      </c>
      <c r="R588" s="1">
        <f t="shared" si="860"/>
        <v>74.734991581173531</v>
      </c>
      <c r="S588" s="47">
        <f t="shared" si="861"/>
        <v>165.19593720706428</v>
      </c>
      <c r="T588" s="1">
        <f t="shared" si="862"/>
        <v>66.031019478046986</v>
      </c>
      <c r="U588" s="47">
        <f t="shared" si="863"/>
        <v>65.918105445937329</v>
      </c>
      <c r="V588" s="47">
        <f t="shared" si="864"/>
        <v>138.58565142309254</v>
      </c>
      <c r="W588" s="2">
        <f t="shared" si="808"/>
        <v>999.74432880717927</v>
      </c>
      <c r="X588" s="1">
        <f t="shared" si="865"/>
        <v>94.778292733981246</v>
      </c>
      <c r="Y588" s="1">
        <f t="shared" si="866"/>
        <v>17.140095773286902</v>
      </c>
      <c r="Z588" s="2">
        <f t="shared" si="867"/>
        <v>3.79492813322531</v>
      </c>
      <c r="AA588" s="3">
        <f t="shared" si="868"/>
        <v>1000</v>
      </c>
      <c r="AB588" s="1">
        <f t="shared" si="873"/>
        <v>2.5573657729638377E-4</v>
      </c>
      <c r="AC588" s="1">
        <f t="shared" si="872"/>
        <v>0</v>
      </c>
      <c r="AD588" s="64">
        <f t="shared" si="874"/>
        <v>0</v>
      </c>
      <c r="AE588" s="1">
        <f t="shared" si="871"/>
        <v>18.134423655094807</v>
      </c>
    </row>
    <row r="589" spans="1:31" ht="13.5" customHeight="1">
      <c r="A589" s="1">
        <v>10</v>
      </c>
      <c r="B589" s="3">
        <f t="shared" si="845"/>
        <v>1000</v>
      </c>
      <c r="C589" s="1">
        <f t="shared" si="846"/>
        <v>2.5430871118155646E-2</v>
      </c>
      <c r="D589" s="1">
        <f t="shared" si="789"/>
        <v>0.8293771638580778</v>
      </c>
      <c r="E589" s="1">
        <f t="shared" si="847"/>
        <v>74.869586607185539</v>
      </c>
      <c r="F589" s="1">
        <f t="shared" si="848"/>
        <v>20</v>
      </c>
      <c r="G589" s="1">
        <f t="shared" si="849"/>
        <v>999.95250373992701</v>
      </c>
      <c r="H589" s="1">
        <f t="shared" si="850"/>
        <v>65.507582122332707</v>
      </c>
      <c r="I589" s="1">
        <f t="shared" si="851"/>
        <v>235.93371898756826</v>
      </c>
      <c r="J589" s="3">
        <f t="shared" si="852"/>
        <v>31.622776601683793</v>
      </c>
      <c r="K589" s="47">
        <f t="shared" si="853"/>
        <v>0.31765835653929841</v>
      </c>
      <c r="L589" s="3">
        <f t="shared" si="854"/>
        <v>3</v>
      </c>
      <c r="M589" s="47">
        <f t="shared" si="855"/>
        <v>0.40466032680165404</v>
      </c>
      <c r="N589" s="47">
        <f t="shared" si="856"/>
        <v>235.29410342630672</v>
      </c>
      <c r="O589" s="1">
        <f t="shared" si="857"/>
        <v>0.99762884740337332</v>
      </c>
      <c r="P589" s="1">
        <f t="shared" si="858"/>
        <v>7.4136252093486368</v>
      </c>
      <c r="Q589" s="1">
        <f t="shared" si="859"/>
        <v>75</v>
      </c>
      <c r="R589" s="1">
        <f t="shared" si="860"/>
        <v>74.869586607185539</v>
      </c>
      <c r="S589" s="47">
        <f t="shared" si="861"/>
        <v>173.99299693506219</v>
      </c>
      <c r="T589" s="1">
        <f t="shared" si="862"/>
        <v>65.885240056065882</v>
      </c>
      <c r="U589" s="47">
        <f t="shared" si="863"/>
        <v>65.776439149960112</v>
      </c>
      <c r="V589" s="47">
        <f t="shared" si="864"/>
        <v>145.15837149890297</v>
      </c>
      <c r="W589" s="2">
        <f t="shared" si="808"/>
        <v>999.962503739927</v>
      </c>
      <c r="X589" s="1">
        <f t="shared" si="865"/>
        <v>91.551136025360321</v>
      </c>
      <c r="Y589" s="1">
        <f t="shared" si="866"/>
        <v>17.663835448242192</v>
      </c>
      <c r="Z589" s="2">
        <f t="shared" si="867"/>
        <v>3.7172364371091278</v>
      </c>
      <c r="AA589" s="3">
        <f t="shared" si="868"/>
        <v>1000</v>
      </c>
      <c r="AB589" s="1">
        <f t="shared" si="873"/>
        <v>3.7497666095287485E-5</v>
      </c>
      <c r="AC589" s="1">
        <f t="shared" si="872"/>
        <v>0</v>
      </c>
      <c r="AD589" s="64">
        <f t="shared" si="874"/>
        <v>0</v>
      </c>
      <c r="AE589" s="1">
        <f t="shared" si="871"/>
        <v>18.134423655094807</v>
      </c>
    </row>
    <row r="590" spans="1:31" ht="13.5" customHeight="1">
      <c r="K590" s="47"/>
      <c r="L590" s="47"/>
      <c r="M590" s="47"/>
      <c r="N590" s="47">
        <f>SUM(N580:N589)</f>
        <v>6067.2118275474022</v>
      </c>
      <c r="O590" s="2" t="s">
        <v>46</v>
      </c>
      <c r="P590" s="2"/>
      <c r="Q590" s="2"/>
      <c r="R590" s="49">
        <f>R570</f>
        <v>75</v>
      </c>
      <c r="S590" s="50" t="s">
        <v>45</v>
      </c>
      <c r="T590" s="2"/>
      <c r="U590" s="11">
        <f>U589</f>
        <v>65.776439149960112</v>
      </c>
      <c r="V590" s="47"/>
      <c r="W590" s="2"/>
      <c r="Y590" s="1">
        <f>N591</f>
        <v>18.134423655094807</v>
      </c>
      <c r="AE590" s="1">
        <f t="shared" si="871"/>
        <v>18.134423655094807</v>
      </c>
    </row>
    <row r="591" spans="1:31" ht="13.5" customHeight="1">
      <c r="K591" s="47"/>
      <c r="L591" s="2" t="s">
        <v>44</v>
      </c>
      <c r="M591" s="2"/>
      <c r="N591" s="47">
        <f>N590*2/1000+Y591</f>
        <v>18.134423655094807</v>
      </c>
      <c r="O591" s="2" t="s">
        <v>1</v>
      </c>
      <c r="P591" s="1">
        <f>SUM(P580:P589)</f>
        <v>65.566565086793162</v>
      </c>
      <c r="Q591" s="1" t="s">
        <v>43</v>
      </c>
      <c r="S591" s="47"/>
      <c r="U591" s="47"/>
      <c r="V591" s="47"/>
      <c r="W591" s="2"/>
      <c r="Y591" s="3">
        <f>Y571</f>
        <v>6</v>
      </c>
      <c r="Z591" s="3" t="s">
        <v>42</v>
      </c>
      <c r="AE591" s="1">
        <f>N591</f>
        <v>18.134423655094807</v>
      </c>
    </row>
    <row r="592" spans="1:31" ht="13.5" customHeight="1">
      <c r="L592" s="60" t="s">
        <v>41</v>
      </c>
      <c r="N592" s="3">
        <f>N572</f>
        <v>15</v>
      </c>
      <c r="O592" s="1" t="s">
        <v>1</v>
      </c>
    </row>
    <row r="595" spans="1:31" ht="13.5" customHeight="1" thickBot="1"/>
    <row r="596" spans="1:31" ht="13.5" customHeight="1">
      <c r="B596" s="14" t="s">
        <v>40</v>
      </c>
      <c r="C596" s="15"/>
      <c r="D596" s="15"/>
      <c r="E596" s="15"/>
      <c r="F596" s="15"/>
      <c r="G596" s="15"/>
      <c r="H596" s="15" t="s">
        <v>39</v>
      </c>
      <c r="I596" s="16"/>
      <c r="J596" s="14" t="s">
        <v>38</v>
      </c>
      <c r="K596" s="15"/>
      <c r="L596" s="15"/>
      <c r="M596" s="15"/>
      <c r="N596" s="15" t="s">
        <v>37</v>
      </c>
      <c r="O596" s="15"/>
      <c r="P596" s="15"/>
      <c r="Q596" s="15"/>
      <c r="R596" s="15"/>
      <c r="S596" s="16"/>
      <c r="T596" s="14" t="s">
        <v>36</v>
      </c>
      <c r="U596" s="15"/>
      <c r="V596" s="16"/>
      <c r="W596" s="14"/>
      <c r="X596" s="15"/>
      <c r="Y596" s="15"/>
      <c r="Z596" s="16"/>
    </row>
    <row r="597" spans="1:31" ht="13.5" customHeight="1">
      <c r="B597" s="17" t="s">
        <v>35</v>
      </c>
      <c r="C597" s="18" t="s">
        <v>22</v>
      </c>
      <c r="D597" s="18"/>
      <c r="E597" s="18" t="s">
        <v>34</v>
      </c>
      <c r="F597" s="18" t="s">
        <v>33</v>
      </c>
      <c r="G597" s="18" t="s">
        <v>7</v>
      </c>
      <c r="H597" s="18" t="s">
        <v>32</v>
      </c>
      <c r="I597" s="19" t="s">
        <v>22</v>
      </c>
      <c r="J597" s="17" t="s">
        <v>31</v>
      </c>
      <c r="K597" s="18"/>
      <c r="L597" s="18" t="s">
        <v>30</v>
      </c>
      <c r="M597" s="18"/>
      <c r="N597" s="18" t="s">
        <v>29</v>
      </c>
      <c r="O597" s="18"/>
      <c r="P597" s="18" t="s">
        <v>28</v>
      </c>
      <c r="Q597" s="20" t="s">
        <v>27</v>
      </c>
      <c r="R597" s="21" t="s">
        <v>26</v>
      </c>
      <c r="S597" s="22" t="s">
        <v>7</v>
      </c>
      <c r="T597" s="23" t="s">
        <v>25</v>
      </c>
      <c r="U597" s="24" t="s">
        <v>24</v>
      </c>
      <c r="V597" s="25" t="s">
        <v>7</v>
      </c>
      <c r="W597" s="26" t="s">
        <v>23</v>
      </c>
      <c r="X597" s="4" t="s">
        <v>22</v>
      </c>
      <c r="Y597" s="4" t="s">
        <v>21</v>
      </c>
      <c r="Z597" s="5" t="s">
        <v>20</v>
      </c>
    </row>
    <row r="598" spans="1:31" ht="13.5" customHeight="1">
      <c r="B598" s="54" t="s">
        <v>3</v>
      </c>
      <c r="C598" s="28" t="s">
        <v>17</v>
      </c>
      <c r="D598" s="20" t="s">
        <v>13</v>
      </c>
      <c r="E598" s="20" t="s">
        <v>19</v>
      </c>
      <c r="F598" s="28" t="s">
        <v>19</v>
      </c>
      <c r="G598" s="20" t="s">
        <v>3</v>
      </c>
      <c r="H598" s="20" t="s">
        <v>19</v>
      </c>
      <c r="I598" s="29" t="s">
        <v>12</v>
      </c>
      <c r="J598" s="55" t="s">
        <v>18</v>
      </c>
      <c r="K598" s="20" t="s">
        <v>17</v>
      </c>
      <c r="L598" s="56" t="s">
        <v>16</v>
      </c>
      <c r="M598" s="20" t="s">
        <v>15</v>
      </c>
      <c r="N598" s="20" t="s">
        <v>14</v>
      </c>
      <c r="O598" s="20" t="s">
        <v>13</v>
      </c>
      <c r="P598" s="20" t="s">
        <v>12</v>
      </c>
      <c r="Q598" s="20" t="s">
        <v>11</v>
      </c>
      <c r="R598" s="21" t="s">
        <v>11</v>
      </c>
      <c r="S598" s="22" t="s">
        <v>10</v>
      </c>
      <c r="T598" s="23" t="s">
        <v>9</v>
      </c>
      <c r="U598" s="24" t="s">
        <v>9</v>
      </c>
      <c r="V598" s="33" t="s">
        <v>8</v>
      </c>
      <c r="W598" s="34" t="s">
        <v>7</v>
      </c>
      <c r="X598" s="4" t="s">
        <v>6</v>
      </c>
      <c r="Y598" s="6" t="s">
        <v>5</v>
      </c>
      <c r="Z598" s="7" t="s">
        <v>5</v>
      </c>
    </row>
    <row r="599" spans="1:31" ht="13.5" customHeight="1" thickBot="1">
      <c r="B599" s="57"/>
      <c r="C599" s="3">
        <f>C579</f>
        <v>1.05</v>
      </c>
      <c r="D599" s="37"/>
      <c r="E599" s="38"/>
      <c r="F599" s="38"/>
      <c r="G599" s="37"/>
      <c r="H599" s="37"/>
      <c r="I599" s="39"/>
      <c r="J599" s="58" t="s">
        <v>4</v>
      </c>
      <c r="K599" s="44"/>
      <c r="L599" s="59"/>
      <c r="M599" s="37"/>
      <c r="N599" s="37"/>
      <c r="O599" s="37"/>
      <c r="P599" s="37"/>
      <c r="Q599" s="42"/>
      <c r="R599" s="42"/>
      <c r="S599" s="52" t="s">
        <v>3</v>
      </c>
      <c r="T599" s="43"/>
      <c r="U599" s="44"/>
      <c r="V599" s="39" t="s">
        <v>3</v>
      </c>
      <c r="W599" s="45" t="s">
        <v>3</v>
      </c>
      <c r="X599" s="8" t="s">
        <v>2</v>
      </c>
      <c r="Y599" s="9" t="s">
        <v>1</v>
      </c>
      <c r="Z599" s="13" t="s">
        <v>0</v>
      </c>
    </row>
    <row r="600" spans="1:31" ht="13.5" customHeight="1">
      <c r="A600" s="1">
        <v>1</v>
      </c>
      <c r="B600" s="3">
        <f t="shared" ref="B600:B609" si="875">B580</f>
        <v>1000</v>
      </c>
      <c r="C600" s="1">
        <f t="shared" ref="C600:C609" si="876">IF(B600&lt;1,0.000001,C580*(1+AB580))</f>
        <v>4.3285553943072333E-2</v>
      </c>
      <c r="D600" s="1">
        <f t="shared" si="789"/>
        <v>0.89705991017206721</v>
      </c>
      <c r="E600" s="1">
        <f t="shared" ref="E600:E609" si="877">R600</f>
        <v>73.186005309446656</v>
      </c>
      <c r="F600" s="1">
        <f t="shared" ref="F600:F609" si="878">F580</f>
        <v>20</v>
      </c>
      <c r="G600" s="1">
        <f t="shared" ref="G600:G609" si="879">(E600-F600)*C600*(1-D600)*4200</f>
        <v>995.34625238095498</v>
      </c>
      <c r="H600" s="1">
        <f t="shared" ref="H600:H609" si="880">(E600-F600)*D600+F600</f>
        <v>67.711033145303304</v>
      </c>
      <c r="I600" s="1">
        <f t="shared" ref="I600:I609" si="881">B600*0.001*6/C600</f>
        <v>138.61437485335159</v>
      </c>
      <c r="J600" s="3">
        <f t="shared" ref="J600:J609" si="882">J580</f>
        <v>10</v>
      </c>
      <c r="K600" s="47">
        <f t="shared" ref="K600:K609" si="883">K599+C600</f>
        <v>4.3285553943072333E-2</v>
      </c>
      <c r="L600" s="3">
        <f t="shared" ref="L600:L609" si="884">L580</f>
        <v>3</v>
      </c>
      <c r="M600" s="47">
        <f t="shared" ref="M600:M609" si="885">K600/(J600*J600*3.14/4000)</f>
        <v>0.55140833048499782</v>
      </c>
      <c r="N600" s="47">
        <f t="shared" ref="N600:N609" si="886">L600*26400/J600^1.27*M600^1.83*$N$69</f>
        <v>1788.6747475054867</v>
      </c>
      <c r="O600" s="1">
        <f t="shared" ref="O600:O609" si="887">EXP(-(J600+2)*3.14/1000*$O$66/(M600*J600*J600*3.14/4000*4200)*L600)</f>
        <v>0.99380144597912423</v>
      </c>
      <c r="P600" s="1">
        <f t="shared" ref="P600:P609" si="888">L600/M600</f>
        <v>5.4406142129940509</v>
      </c>
      <c r="Q600" s="1">
        <f t="shared" ref="Q600:Q609" si="889">R601</f>
        <v>73.517737898887987</v>
      </c>
      <c r="R600" s="1">
        <f t="shared" ref="R600:R609" si="890">(Q600-F600)*O600+F600</f>
        <v>73.186005309446656</v>
      </c>
      <c r="S600" s="47">
        <f t="shared" ref="S600:S609" si="891">K600*(1-O600)*4200*(Q600-F600)</f>
        <v>60.308761358738145</v>
      </c>
      <c r="T600" s="1">
        <f t="shared" ref="T600:T609" si="892">(U599*K599+H600*C600)/K600</f>
        <v>67.711033145303304</v>
      </c>
      <c r="U600" s="47">
        <f t="shared" ref="U600:U609" si="893">(T600-F600)*O600+F600</f>
        <v>67.41529372896035</v>
      </c>
      <c r="V600" s="47">
        <f t="shared" ref="V600:V609" si="894">K600*(1-O600)*4200*(T600-F600)</f>
        <v>53.765226728664302</v>
      </c>
      <c r="W600" s="2">
        <f t="shared" si="808"/>
        <v>995.35625238095497</v>
      </c>
      <c r="X600" s="1">
        <f t="shared" ref="X600:X609" si="895">C600*3600</f>
        <v>155.8279941950604</v>
      </c>
      <c r="Y600" s="1">
        <f t="shared" ref="Y600:Y609" si="896">Y601-2*N600/1000</f>
        <v>5.9999999999999991</v>
      </c>
      <c r="Z600" s="2">
        <f t="shared" ref="Z600:Z609" si="897">-1.1-1.8*LOG10(Y600/X600/X600)</f>
        <v>5.3928514791152811</v>
      </c>
      <c r="AA600" s="3">
        <f t="shared" ref="AA600:AA609" si="898">AA580</f>
        <v>1000</v>
      </c>
      <c r="AB600" s="1">
        <f t="shared" ref="AB600" si="899">((AA600/W600)-1)*AB$23+AC600+AD600</f>
        <v>4.6654126177807509E-3</v>
      </c>
      <c r="AC600" s="1">
        <f>((N612/N611)-1)*AB$24</f>
        <v>0</v>
      </c>
      <c r="AD600" s="64">
        <f t="shared" ref="AD600" si="900">(AC$21-(X600/1000/SQRT(Y600/104))*1000/B600)*AB$21</f>
        <v>0</v>
      </c>
      <c r="AE600" s="1">
        <f t="shared" ref="AE600:AE610" si="901">AE601</f>
        <v>18.220815150770033</v>
      </c>
    </row>
    <row r="601" spans="1:31" ht="13.5" customHeight="1">
      <c r="A601" s="1">
        <v>2</v>
      </c>
      <c r="B601" s="3">
        <f t="shared" si="875"/>
        <v>1000</v>
      </c>
      <c r="C601" s="1">
        <f t="shared" si="876"/>
        <v>3.8253974736159137E-2</v>
      </c>
      <c r="D601" s="1">
        <f t="shared" si="789"/>
        <v>0.88408109578592642</v>
      </c>
      <c r="E601" s="1">
        <f t="shared" si="877"/>
        <v>73.517737898887987</v>
      </c>
      <c r="F601" s="1">
        <f t="shared" si="878"/>
        <v>20</v>
      </c>
      <c r="G601" s="1">
        <f t="shared" si="879"/>
        <v>996.73078590711248</v>
      </c>
      <c r="H601" s="1">
        <f t="shared" si="880"/>
        <v>67.314020365632899</v>
      </c>
      <c r="I601" s="1">
        <f t="shared" si="881"/>
        <v>156.84644645118584</v>
      </c>
      <c r="J601" s="3">
        <f t="shared" si="882"/>
        <v>14.142135623730951</v>
      </c>
      <c r="K601" s="47">
        <f t="shared" si="883"/>
        <v>8.1539528679231477E-2</v>
      </c>
      <c r="L601" s="3">
        <f t="shared" si="884"/>
        <v>3</v>
      </c>
      <c r="M601" s="47">
        <f t="shared" si="885"/>
        <v>0.51936005528172902</v>
      </c>
      <c r="N601" s="47">
        <f t="shared" si="886"/>
        <v>1032.2587753608448</v>
      </c>
      <c r="O601" s="1">
        <f t="shared" si="887"/>
        <v>0.99556972581499592</v>
      </c>
      <c r="P601" s="1">
        <f t="shared" si="888"/>
        <v>5.7763394960604693</v>
      </c>
      <c r="Q601" s="1">
        <f t="shared" si="889"/>
        <v>73.755891236123276</v>
      </c>
      <c r="R601" s="1">
        <f t="shared" si="890"/>
        <v>73.517737898887987</v>
      </c>
      <c r="S601" s="47">
        <f t="shared" si="891"/>
        <v>81.559425660514719</v>
      </c>
      <c r="T601" s="1">
        <f t="shared" si="892"/>
        <v>67.367781697128351</v>
      </c>
      <c r="U601" s="47">
        <f t="shared" si="893"/>
        <v>67.157929436674664</v>
      </c>
      <c r="V601" s="47">
        <f t="shared" si="894"/>
        <v>71.867268520596085</v>
      </c>
      <c r="W601" s="2">
        <f t="shared" si="808"/>
        <v>996.74078590711247</v>
      </c>
      <c r="X601" s="1">
        <f t="shared" si="895"/>
        <v>137.71430905017289</v>
      </c>
      <c r="Y601" s="1">
        <f t="shared" si="896"/>
        <v>9.5773494950109725</v>
      </c>
      <c r="Z601" s="2">
        <f t="shared" si="897"/>
        <v>4.8340830382921034</v>
      </c>
      <c r="AA601" s="3">
        <f t="shared" si="898"/>
        <v>1000</v>
      </c>
      <c r="AB601" s="1">
        <f t="shared" si="873"/>
        <v>3.2698713035219651E-3</v>
      </c>
      <c r="AC601" s="1">
        <f t="shared" ref="AC601:AC609" si="902">AC600</f>
        <v>0</v>
      </c>
      <c r="AD601" s="64">
        <f t="shared" si="874"/>
        <v>0</v>
      </c>
      <c r="AE601" s="1">
        <f t="shared" si="901"/>
        <v>18.220815150770033</v>
      </c>
    </row>
    <row r="602" spans="1:31" ht="13.5" customHeight="1">
      <c r="A602" s="1">
        <v>3</v>
      </c>
      <c r="B602" s="3">
        <f t="shared" si="875"/>
        <v>1000</v>
      </c>
      <c r="C602" s="1">
        <f t="shared" si="876"/>
        <v>3.5232065450956411E-2</v>
      </c>
      <c r="D602" s="1">
        <f t="shared" si="789"/>
        <v>0.87459313593113086</v>
      </c>
      <c r="E602" s="1">
        <f t="shared" si="877"/>
        <v>73.755891236123276</v>
      </c>
      <c r="F602" s="1">
        <f t="shared" si="878"/>
        <v>20</v>
      </c>
      <c r="G602" s="1">
        <f t="shared" si="879"/>
        <v>997.55022068274923</v>
      </c>
      <c r="H602" s="1">
        <f t="shared" si="880"/>
        <v>67.014533490973861</v>
      </c>
      <c r="I602" s="1">
        <f t="shared" si="881"/>
        <v>170.29941115294798</v>
      </c>
      <c r="J602" s="3">
        <f t="shared" si="882"/>
        <v>17.320508075688775</v>
      </c>
      <c r="K602" s="47">
        <f t="shared" si="883"/>
        <v>0.11677159413018789</v>
      </c>
      <c r="L602" s="3">
        <f t="shared" si="884"/>
        <v>3</v>
      </c>
      <c r="M602" s="47">
        <f t="shared" si="885"/>
        <v>0.49584541031926904</v>
      </c>
      <c r="N602" s="47">
        <f t="shared" si="886"/>
        <v>733.07249081246994</v>
      </c>
      <c r="O602" s="1">
        <f t="shared" si="887"/>
        <v>0.99629594542489419</v>
      </c>
      <c r="P602" s="1">
        <f t="shared" si="888"/>
        <v>6.0502728018967344</v>
      </c>
      <c r="Q602" s="1">
        <f t="shared" si="889"/>
        <v>73.955746264929132</v>
      </c>
      <c r="R602" s="1">
        <f t="shared" si="890"/>
        <v>73.755891236123276</v>
      </c>
      <c r="S602" s="47">
        <f t="shared" si="891"/>
        <v>98.017039296098019</v>
      </c>
      <c r="T602" s="1">
        <f t="shared" si="892"/>
        <v>67.114664331132815</v>
      </c>
      <c r="U602" s="47">
        <f t="shared" si="893"/>
        <v>66.940149043162506</v>
      </c>
      <c r="V602" s="47">
        <f t="shared" si="894"/>
        <v>85.589399180802502</v>
      </c>
      <c r="W602" s="2">
        <f t="shared" si="808"/>
        <v>997.56022068274922</v>
      </c>
      <c r="X602" s="1">
        <f t="shared" si="895"/>
        <v>126.83543562344308</v>
      </c>
      <c r="Y602" s="1">
        <f t="shared" si="896"/>
        <v>11.641867045732662</v>
      </c>
      <c r="Z602" s="2">
        <f t="shared" si="897"/>
        <v>4.5528254341470689</v>
      </c>
      <c r="AA602" s="3">
        <f t="shared" si="898"/>
        <v>1000</v>
      </c>
      <c r="AB602" s="1">
        <f t="shared" si="873"/>
        <v>2.4457463987297423E-3</v>
      </c>
      <c r="AC602" s="1">
        <f t="shared" si="902"/>
        <v>0</v>
      </c>
      <c r="AD602" s="64">
        <f t="shared" si="874"/>
        <v>0</v>
      </c>
      <c r="AE602" s="1">
        <f t="shared" si="901"/>
        <v>18.220815150770033</v>
      </c>
    </row>
    <row r="603" spans="1:31" ht="13.5" customHeight="1">
      <c r="A603" s="1">
        <v>4</v>
      </c>
      <c r="B603" s="3">
        <f t="shared" si="875"/>
        <v>1000</v>
      </c>
      <c r="C603" s="1">
        <f t="shared" si="876"/>
        <v>3.3006646206221485E-2</v>
      </c>
      <c r="D603" s="1">
        <f t="shared" si="789"/>
        <v>0.86655456967972877</v>
      </c>
      <c r="E603" s="1">
        <f t="shared" si="877"/>
        <v>73.955746264929132</v>
      </c>
      <c r="F603" s="1">
        <f t="shared" si="878"/>
        <v>20</v>
      </c>
      <c r="G603" s="1">
        <f t="shared" si="879"/>
        <v>998.14146751171086</v>
      </c>
      <c r="H603" s="1">
        <f t="shared" si="880"/>
        <v>66.755598486354302</v>
      </c>
      <c r="I603" s="1">
        <f t="shared" si="881"/>
        <v>181.7815709755161</v>
      </c>
      <c r="J603" s="3">
        <f t="shared" si="882"/>
        <v>20</v>
      </c>
      <c r="K603" s="47">
        <f t="shared" si="883"/>
        <v>0.14977824033640938</v>
      </c>
      <c r="L603" s="3">
        <f t="shared" si="884"/>
        <v>3</v>
      </c>
      <c r="M603" s="47">
        <f t="shared" si="885"/>
        <v>0.47700076540257763</v>
      </c>
      <c r="N603" s="47">
        <f t="shared" si="886"/>
        <v>568.87521025765568</v>
      </c>
      <c r="O603" s="1">
        <f t="shared" si="887"/>
        <v>0.9967110263279908</v>
      </c>
      <c r="P603" s="1">
        <f t="shared" si="888"/>
        <v>6.2892980841824633</v>
      </c>
      <c r="Q603" s="1">
        <f t="shared" si="889"/>
        <v>74.133790877892565</v>
      </c>
      <c r="R603" s="1">
        <f t="shared" si="890"/>
        <v>73.955746264929132</v>
      </c>
      <c r="S603" s="47">
        <f t="shared" si="891"/>
        <v>112.00227709037289</v>
      </c>
      <c r="T603" s="1">
        <f t="shared" si="892"/>
        <v>66.899479618004037</v>
      </c>
      <c r="U603" s="47">
        <f t="shared" si="893"/>
        <v>66.745228464309491</v>
      </c>
      <c r="V603" s="47">
        <f t="shared" si="894"/>
        <v>97.034558754967392</v>
      </c>
      <c r="W603" s="2">
        <f t="shared" si="808"/>
        <v>998.15146751171085</v>
      </c>
      <c r="X603" s="1">
        <f t="shared" si="895"/>
        <v>118.82392634239734</v>
      </c>
      <c r="Y603" s="1">
        <f t="shared" si="896"/>
        <v>13.108012027357601</v>
      </c>
      <c r="Z603" s="2">
        <f t="shared" si="897"/>
        <v>4.3580877396228459</v>
      </c>
      <c r="AA603" s="3">
        <f t="shared" si="898"/>
        <v>1000</v>
      </c>
      <c r="AB603" s="1">
        <f t="shared" si="873"/>
        <v>1.8519558889167342E-3</v>
      </c>
      <c r="AC603" s="1">
        <f t="shared" si="902"/>
        <v>0</v>
      </c>
      <c r="AD603" s="64">
        <f t="shared" si="874"/>
        <v>0</v>
      </c>
      <c r="AE603" s="1">
        <f t="shared" si="901"/>
        <v>18.220815150770033</v>
      </c>
    </row>
    <row r="604" spans="1:31" ht="13.5" customHeight="1">
      <c r="A604" s="1">
        <v>5</v>
      </c>
      <c r="B604" s="3">
        <f t="shared" si="875"/>
        <v>1000</v>
      </c>
      <c r="C604" s="1">
        <f t="shared" si="876"/>
        <v>3.1227512606776725E-2</v>
      </c>
      <c r="D604" s="1">
        <f t="shared" ref="D604:D667" si="903">EXP((1+(E604-F604-55)/55*$B$18)*B604/C604/-210000)</f>
        <v>0.85935078972589463</v>
      </c>
      <c r="E604" s="1">
        <f t="shared" si="877"/>
        <v>74.133790877892565</v>
      </c>
      <c r="F604" s="1">
        <f t="shared" si="878"/>
        <v>20</v>
      </c>
      <c r="G604" s="1">
        <f t="shared" si="879"/>
        <v>998.60197732714596</v>
      </c>
      <c r="H604" s="1">
        <f t="shared" si="880"/>
        <v>66.519915941773405</v>
      </c>
      <c r="I604" s="1">
        <f t="shared" si="881"/>
        <v>192.13826203685309</v>
      </c>
      <c r="J604" s="3">
        <f t="shared" si="882"/>
        <v>22.360679774997898</v>
      </c>
      <c r="K604" s="47">
        <f t="shared" si="883"/>
        <v>0.1810057529431861</v>
      </c>
      <c r="L604" s="3">
        <f t="shared" si="884"/>
        <v>3</v>
      </c>
      <c r="M604" s="47">
        <f t="shared" si="885"/>
        <v>0.46116115399537855</v>
      </c>
      <c r="N604" s="47">
        <f t="shared" si="886"/>
        <v>464.13007867502927</v>
      </c>
      <c r="O604" s="1">
        <f t="shared" si="887"/>
        <v>0.99698599941926302</v>
      </c>
      <c r="P604" s="1">
        <f t="shared" si="888"/>
        <v>6.5053180954397209</v>
      </c>
      <c r="Q604" s="1">
        <f t="shared" si="889"/>
        <v>74.297443403844284</v>
      </c>
      <c r="R604" s="1">
        <f t="shared" si="890"/>
        <v>74.133790877892565</v>
      </c>
      <c r="S604" s="47">
        <f t="shared" si="891"/>
        <v>124.4126044599704</v>
      </c>
      <c r="T604" s="1">
        <f t="shared" si="892"/>
        <v>66.706357049873461</v>
      </c>
      <c r="U604" s="47">
        <f t="shared" si="893"/>
        <v>66.565584062601033</v>
      </c>
      <c r="V604" s="47">
        <f t="shared" si="894"/>
        <v>107.01902633229037</v>
      </c>
      <c r="W604" s="2">
        <f t="shared" ref="W604:W667" si="904">G604+(S604+V604)*$AB$22+0.01</f>
        <v>998.61197732714595</v>
      </c>
      <c r="X604" s="1">
        <f t="shared" si="895"/>
        <v>112.41904538439621</v>
      </c>
      <c r="Y604" s="1">
        <f t="shared" si="896"/>
        <v>14.245762447872913</v>
      </c>
      <c r="Z604" s="2">
        <f t="shared" si="897"/>
        <v>4.2063893586968781</v>
      </c>
      <c r="AA604" s="3">
        <f t="shared" si="898"/>
        <v>1000</v>
      </c>
      <c r="AB604" s="1">
        <f t="shared" si="873"/>
        <v>1.3899519576854313E-3</v>
      </c>
      <c r="AC604" s="1">
        <f t="shared" si="902"/>
        <v>0</v>
      </c>
      <c r="AD604" s="64">
        <f t="shared" si="874"/>
        <v>0</v>
      </c>
      <c r="AE604" s="1">
        <f t="shared" si="901"/>
        <v>18.220815150770033</v>
      </c>
    </row>
    <row r="605" spans="1:31" ht="13.5" customHeight="1">
      <c r="A605" s="1">
        <v>6</v>
      </c>
      <c r="B605" s="3">
        <f t="shared" si="875"/>
        <v>1000</v>
      </c>
      <c r="C605" s="1">
        <f t="shared" si="876"/>
        <v>2.9739682910683359E-2</v>
      </c>
      <c r="D605" s="1">
        <f t="shared" si="903"/>
        <v>0.85270440335183684</v>
      </c>
      <c r="E605" s="1">
        <f t="shared" si="877"/>
        <v>74.297443403844284</v>
      </c>
      <c r="F605" s="1">
        <f t="shared" si="878"/>
        <v>20</v>
      </c>
      <c r="G605" s="1">
        <f t="shared" si="879"/>
        <v>998.97534385526922</v>
      </c>
      <c r="H605" s="1">
        <f t="shared" si="880"/>
        <v>66.299669081205167</v>
      </c>
      <c r="I605" s="1">
        <f t="shared" si="881"/>
        <v>201.75063796139619</v>
      </c>
      <c r="J605" s="3">
        <f t="shared" si="882"/>
        <v>24.494897427831781</v>
      </c>
      <c r="K605" s="47">
        <f t="shared" si="883"/>
        <v>0.21074543585386946</v>
      </c>
      <c r="L605" s="3">
        <f t="shared" si="884"/>
        <v>3</v>
      </c>
      <c r="M605" s="47">
        <f t="shared" si="885"/>
        <v>0.44744253896787572</v>
      </c>
      <c r="N605" s="47">
        <f t="shared" si="886"/>
        <v>391.16352933277938</v>
      </c>
      <c r="O605" s="1">
        <f t="shared" si="887"/>
        <v>0.99718425366828611</v>
      </c>
      <c r="P605" s="1">
        <f t="shared" si="888"/>
        <v>6.7047715376373409</v>
      </c>
      <c r="Q605" s="1">
        <f t="shared" si="889"/>
        <v>74.450762939851202</v>
      </c>
      <c r="R605" s="1">
        <f t="shared" si="890"/>
        <v>74.297443403844284</v>
      </c>
      <c r="S605" s="47">
        <f t="shared" si="891"/>
        <v>135.70784825089362</v>
      </c>
      <c r="T605" s="1">
        <f t="shared" si="892"/>
        <v>66.52805904007387</v>
      </c>
      <c r="U605" s="47">
        <f t="shared" si="893"/>
        <v>66.397047828510011</v>
      </c>
      <c r="V605" s="47">
        <f t="shared" si="894"/>
        <v>115.96206250762624</v>
      </c>
      <c r="W605" s="2">
        <f t="shared" si="904"/>
        <v>998.98534385526921</v>
      </c>
      <c r="X605" s="1">
        <f t="shared" si="895"/>
        <v>107.06285847846009</v>
      </c>
      <c r="Y605" s="1">
        <f t="shared" si="896"/>
        <v>15.174022605222971</v>
      </c>
      <c r="Z605" s="2">
        <f t="shared" si="897"/>
        <v>4.0807184959758089</v>
      </c>
      <c r="AA605" s="3">
        <f t="shared" si="898"/>
        <v>1000</v>
      </c>
      <c r="AB605" s="1">
        <f t="shared" si="873"/>
        <v>1.0156867174997419E-3</v>
      </c>
      <c r="AC605" s="1">
        <f t="shared" si="902"/>
        <v>0</v>
      </c>
      <c r="AD605" s="64">
        <f t="shared" si="874"/>
        <v>0</v>
      </c>
      <c r="AE605" s="1">
        <f t="shared" si="901"/>
        <v>18.220815150770033</v>
      </c>
    </row>
    <row r="606" spans="1:31" ht="13.5" customHeight="1">
      <c r="A606" s="1">
        <v>7</v>
      </c>
      <c r="B606" s="3">
        <f t="shared" si="875"/>
        <v>1000</v>
      </c>
      <c r="C606" s="1">
        <f t="shared" si="876"/>
        <v>2.8459325567695419E-2</v>
      </c>
      <c r="D606" s="1">
        <f t="shared" si="903"/>
        <v>0.84646347155505675</v>
      </c>
      <c r="E606" s="1">
        <f t="shared" si="877"/>
        <v>74.450762939851202</v>
      </c>
      <c r="F606" s="1">
        <f t="shared" si="878"/>
        <v>20</v>
      </c>
      <c r="G606" s="1">
        <f t="shared" si="879"/>
        <v>999.28548761463048</v>
      </c>
      <c r="H606" s="1">
        <f t="shared" si="880"/>
        <v>66.09058182688787</v>
      </c>
      <c r="I606" s="1">
        <f t="shared" si="881"/>
        <v>210.82720269417362</v>
      </c>
      <c r="J606" s="3">
        <f t="shared" si="882"/>
        <v>26.457513110645905</v>
      </c>
      <c r="K606" s="47">
        <f t="shared" si="883"/>
        <v>0.23920476142156488</v>
      </c>
      <c r="L606" s="3">
        <f t="shared" si="884"/>
        <v>3</v>
      </c>
      <c r="M606" s="47">
        <f t="shared" si="885"/>
        <v>0.43531348757336646</v>
      </c>
      <c r="N606" s="47">
        <f t="shared" si="886"/>
        <v>337.29183253578583</v>
      </c>
      <c r="O606" s="1">
        <f t="shared" si="887"/>
        <v>0.99733529301942714</v>
      </c>
      <c r="P606" s="1">
        <f t="shared" si="888"/>
        <v>6.8915852268289504</v>
      </c>
      <c r="Q606" s="1">
        <f t="shared" si="889"/>
        <v>74.59624593751397</v>
      </c>
      <c r="R606" s="1">
        <f t="shared" si="890"/>
        <v>74.450762939851202</v>
      </c>
      <c r="S606" s="47">
        <f t="shared" si="891"/>
        <v>146.1609481366275</v>
      </c>
      <c r="T606" s="1">
        <f t="shared" si="892"/>
        <v>66.360586114020037</v>
      </c>
      <c r="U606" s="47">
        <f t="shared" si="893"/>
        <v>66.237048736578558</v>
      </c>
      <c r="V606" s="47">
        <f t="shared" si="894"/>
        <v>124.11306136964561</v>
      </c>
      <c r="W606" s="2">
        <f t="shared" si="904"/>
        <v>999.29548761463047</v>
      </c>
      <c r="X606" s="1">
        <f t="shared" si="895"/>
        <v>102.4535720437035</v>
      </c>
      <c r="Y606" s="1">
        <f t="shared" si="896"/>
        <v>15.956349663888529</v>
      </c>
      <c r="Z606" s="2">
        <f t="shared" si="897"/>
        <v>3.9726171962464014</v>
      </c>
      <c r="AA606" s="3">
        <f t="shared" si="898"/>
        <v>1000</v>
      </c>
      <c r="AB606" s="1">
        <f t="shared" si="873"/>
        <v>7.0500907299320126E-4</v>
      </c>
      <c r="AC606" s="1">
        <f t="shared" si="902"/>
        <v>0</v>
      </c>
      <c r="AD606" s="64">
        <f t="shared" si="874"/>
        <v>0</v>
      </c>
      <c r="AE606" s="1">
        <f t="shared" si="901"/>
        <v>18.220815150770033</v>
      </c>
    </row>
    <row r="607" spans="1:31" ht="13.5" customHeight="1">
      <c r="A607" s="1">
        <v>8</v>
      </c>
      <c r="B607" s="3">
        <f t="shared" si="875"/>
        <v>1000</v>
      </c>
      <c r="C607" s="1">
        <f t="shared" si="876"/>
        <v>2.7335349591404254E-2</v>
      </c>
      <c r="D607" s="1">
        <f t="shared" si="903"/>
        <v>0.84053454611914025</v>
      </c>
      <c r="E607" s="1">
        <f t="shared" si="877"/>
        <v>74.59624593751397</v>
      </c>
      <c r="F607" s="1">
        <f t="shared" si="878"/>
        <v>20</v>
      </c>
      <c r="G607" s="1">
        <f t="shared" si="879"/>
        <v>999.54722461466804</v>
      </c>
      <c r="H607" s="1">
        <f t="shared" si="880"/>
        <v>65.890030798897257</v>
      </c>
      <c r="I607" s="1">
        <f t="shared" si="881"/>
        <v>219.49600388087708</v>
      </c>
      <c r="J607" s="3">
        <f t="shared" si="882"/>
        <v>28.284271247461902</v>
      </c>
      <c r="K607" s="47">
        <f t="shared" si="883"/>
        <v>0.26654011101296915</v>
      </c>
      <c r="L607" s="3">
        <f t="shared" si="884"/>
        <v>3</v>
      </c>
      <c r="M607" s="47">
        <f t="shared" si="885"/>
        <v>0.4244269283646005</v>
      </c>
      <c r="N607" s="47">
        <f t="shared" si="886"/>
        <v>295.83694955556973</v>
      </c>
      <c r="O607" s="1">
        <f t="shared" si="887"/>
        <v>0.99745491131855291</v>
      </c>
      <c r="P607" s="1">
        <f t="shared" si="888"/>
        <v>7.0683545258534455</v>
      </c>
      <c r="Q607" s="1">
        <f t="shared" si="889"/>
        <v>74.735552773350179</v>
      </c>
      <c r="R607" s="1">
        <f t="shared" si="890"/>
        <v>74.59624593751397</v>
      </c>
      <c r="S607" s="47">
        <f t="shared" si="891"/>
        <v>155.94960985231819</v>
      </c>
      <c r="T607" s="1">
        <f t="shared" si="892"/>
        <v>66.201459884285541</v>
      </c>
      <c r="U607" s="47">
        <f t="shared" si="893"/>
        <v>66.083873071667711</v>
      </c>
      <c r="V607" s="47">
        <f t="shared" si="894"/>
        <v>131.63472877303073</v>
      </c>
      <c r="W607" s="2">
        <f t="shared" si="904"/>
        <v>999.55722461466803</v>
      </c>
      <c r="X607" s="1">
        <f t="shared" si="895"/>
        <v>98.407258529055312</v>
      </c>
      <c r="Y607" s="1">
        <f t="shared" si="896"/>
        <v>16.630933328960101</v>
      </c>
      <c r="Z607" s="2">
        <f t="shared" si="897"/>
        <v>3.877247759015479</v>
      </c>
      <c r="AA607" s="3">
        <f t="shared" si="898"/>
        <v>1000</v>
      </c>
      <c r="AB607" s="1">
        <f t="shared" si="873"/>
        <v>4.4297152221850489E-4</v>
      </c>
      <c r="AC607" s="1">
        <f t="shared" si="902"/>
        <v>0</v>
      </c>
      <c r="AD607" s="64">
        <f t="shared" si="874"/>
        <v>0</v>
      </c>
      <c r="AE607" s="1">
        <f t="shared" si="901"/>
        <v>18.220815150770033</v>
      </c>
    </row>
    <row r="608" spans="1:31" ht="13.5" customHeight="1">
      <c r="A608" s="1">
        <v>9</v>
      </c>
      <c r="B608" s="3">
        <f t="shared" si="875"/>
        <v>1000</v>
      </c>
      <c r="C608" s="1">
        <f t="shared" si="876"/>
        <v>2.6334036391713063E-2</v>
      </c>
      <c r="D608" s="1">
        <f t="shared" si="903"/>
        <v>0.83485550966830779</v>
      </c>
      <c r="E608" s="1">
        <f t="shared" si="877"/>
        <v>74.735552773350179</v>
      </c>
      <c r="F608" s="1">
        <f t="shared" si="878"/>
        <v>20</v>
      </c>
      <c r="G608" s="1">
        <f t="shared" si="879"/>
        <v>999.77050279473417</v>
      </c>
      <c r="H608" s="1">
        <f t="shared" si="880"/>
        <v>65.696277807571818</v>
      </c>
      <c r="I608" s="1">
        <f t="shared" si="881"/>
        <v>227.84201824404377</v>
      </c>
      <c r="J608" s="3">
        <f t="shared" si="882"/>
        <v>30</v>
      </c>
      <c r="K608" s="47">
        <f t="shared" si="883"/>
        <v>0.29287414740468221</v>
      </c>
      <c r="L608" s="3">
        <f t="shared" si="884"/>
        <v>3</v>
      </c>
      <c r="M608" s="47">
        <f t="shared" si="885"/>
        <v>0.41454231762870797</v>
      </c>
      <c r="N608" s="47">
        <f t="shared" si="886"/>
        <v>262.93126766586101</v>
      </c>
      <c r="O608" s="1">
        <f t="shared" si="887"/>
        <v>0.99755241082741664</v>
      </c>
      <c r="P608" s="1">
        <f t="shared" si="888"/>
        <v>7.2368968677571832</v>
      </c>
      <c r="Q608" s="1">
        <f t="shared" si="889"/>
        <v>74.86985162809637</v>
      </c>
      <c r="R608" s="1">
        <f t="shared" si="890"/>
        <v>74.735552773350179</v>
      </c>
      <c r="S608" s="47">
        <f t="shared" si="891"/>
        <v>165.19718284109882</v>
      </c>
      <c r="T608" s="1">
        <f t="shared" si="892"/>
        <v>66.04902210281162</v>
      </c>
      <c r="U608" s="47">
        <f t="shared" si="893"/>
        <v>65.936313014904727</v>
      </c>
      <c r="V608" s="47">
        <f t="shared" si="894"/>
        <v>138.64022770706171</v>
      </c>
      <c r="W608" s="2">
        <f t="shared" si="904"/>
        <v>999.78050279473416</v>
      </c>
      <c r="X608" s="1">
        <f t="shared" si="895"/>
        <v>94.80253101016703</v>
      </c>
      <c r="Y608" s="1">
        <f t="shared" si="896"/>
        <v>17.22260722807124</v>
      </c>
      <c r="Z608" s="2">
        <f t="shared" si="897"/>
        <v>3.7915737405388827</v>
      </c>
      <c r="AA608" s="3">
        <f t="shared" si="898"/>
        <v>1000</v>
      </c>
      <c r="AB608" s="1">
        <f t="shared" si="873"/>
        <v>2.195453948663495E-4</v>
      </c>
      <c r="AC608" s="1">
        <f t="shared" si="902"/>
        <v>0</v>
      </c>
      <c r="AD608" s="64">
        <f t="shared" si="874"/>
        <v>0</v>
      </c>
      <c r="AE608" s="1">
        <f t="shared" si="901"/>
        <v>18.220815150770033</v>
      </c>
    </row>
    <row r="609" spans="1:31" ht="13.5" customHeight="1">
      <c r="A609" s="1">
        <v>10</v>
      </c>
      <c r="B609" s="3">
        <f t="shared" si="875"/>
        <v>1000</v>
      </c>
      <c r="C609" s="1">
        <f t="shared" si="876"/>
        <v>2.5431824716469348E-2</v>
      </c>
      <c r="D609" s="1">
        <f t="shared" si="903"/>
        <v>0.829382697447969</v>
      </c>
      <c r="E609" s="1">
        <f t="shared" si="877"/>
        <v>74.86985162809637</v>
      </c>
      <c r="F609" s="1">
        <f t="shared" si="878"/>
        <v>20</v>
      </c>
      <c r="G609" s="1">
        <f t="shared" si="879"/>
        <v>999.96239805176072</v>
      </c>
      <c r="H609" s="1">
        <f t="shared" si="880"/>
        <v>65.508105551880391</v>
      </c>
      <c r="I609" s="1">
        <f t="shared" si="881"/>
        <v>235.92487235548109</v>
      </c>
      <c r="J609" s="3">
        <f t="shared" si="882"/>
        <v>31.622776601683793</v>
      </c>
      <c r="K609" s="47">
        <f t="shared" si="883"/>
        <v>0.31830597212115153</v>
      </c>
      <c r="L609" s="3">
        <f t="shared" si="884"/>
        <v>3</v>
      </c>
      <c r="M609" s="47">
        <f t="shared" si="885"/>
        <v>0.40548531480401467</v>
      </c>
      <c r="N609" s="47">
        <f t="shared" si="886"/>
        <v>236.17269368353448</v>
      </c>
      <c r="O609" s="1">
        <f t="shared" si="887"/>
        <v>0.99763366596538849</v>
      </c>
      <c r="P609" s="1">
        <f t="shared" si="888"/>
        <v>7.3985416745610273</v>
      </c>
      <c r="Q609" s="1">
        <f t="shared" si="889"/>
        <v>75</v>
      </c>
      <c r="R609" s="1">
        <f t="shared" si="890"/>
        <v>74.86985162809637</v>
      </c>
      <c r="S609" s="47">
        <f t="shared" si="891"/>
        <v>173.99341696283824</v>
      </c>
      <c r="T609" s="1">
        <f t="shared" si="892"/>
        <v>65.902100345034441</v>
      </c>
      <c r="U609" s="47">
        <f t="shared" si="893"/>
        <v>65.793480642727843</v>
      </c>
      <c r="V609" s="47">
        <f t="shared" si="894"/>
        <v>145.21205972370214</v>
      </c>
      <c r="W609" s="2">
        <f t="shared" si="904"/>
        <v>999.97239805176071</v>
      </c>
      <c r="X609" s="1">
        <f t="shared" si="895"/>
        <v>91.554568979289655</v>
      </c>
      <c r="Y609" s="1">
        <f t="shared" si="896"/>
        <v>17.748469763402962</v>
      </c>
      <c r="Z609" s="2">
        <f t="shared" si="897"/>
        <v>3.7135584335926262</v>
      </c>
      <c r="AA609" s="3">
        <f t="shared" si="898"/>
        <v>1000</v>
      </c>
      <c r="AB609" s="1">
        <f t="shared" si="873"/>
        <v>2.7602710127805352E-5</v>
      </c>
      <c r="AC609" s="1">
        <f t="shared" si="902"/>
        <v>0</v>
      </c>
      <c r="AD609" s="64">
        <f t="shared" si="874"/>
        <v>0</v>
      </c>
      <c r="AE609" s="1">
        <f t="shared" si="901"/>
        <v>18.220815150770033</v>
      </c>
    </row>
    <row r="610" spans="1:31" ht="13.5" customHeight="1">
      <c r="K610" s="47"/>
      <c r="L610" s="47"/>
      <c r="M610" s="47"/>
      <c r="N610" s="47">
        <f>SUM(N600:N609)</f>
        <v>6110.4075753850166</v>
      </c>
      <c r="O610" s="2" t="s">
        <v>46</v>
      </c>
      <c r="P610" s="2"/>
      <c r="Q610" s="2"/>
      <c r="R610" s="49">
        <f>R590</f>
        <v>75</v>
      </c>
      <c r="S610" s="50" t="s">
        <v>45</v>
      </c>
      <c r="T610" s="2"/>
      <c r="U610" s="11">
        <f>U609</f>
        <v>65.793480642727843</v>
      </c>
      <c r="V610" s="47"/>
      <c r="W610" s="2"/>
      <c r="Y610" s="1">
        <f>N611</f>
        <v>18.220815150770033</v>
      </c>
      <c r="AE610" s="1">
        <f t="shared" si="901"/>
        <v>18.220815150770033</v>
      </c>
    </row>
    <row r="611" spans="1:31" ht="13.5" customHeight="1">
      <c r="K611" s="47"/>
      <c r="L611" s="2" t="s">
        <v>44</v>
      </c>
      <c r="M611" s="2"/>
      <c r="N611" s="47">
        <f>N610*2/1000+Y611</f>
        <v>18.220815150770033</v>
      </c>
      <c r="O611" s="2" t="s">
        <v>1</v>
      </c>
      <c r="P611" s="1">
        <f>SUM(P600:P609)</f>
        <v>65.361992523211384</v>
      </c>
      <c r="Q611" s="1" t="s">
        <v>43</v>
      </c>
      <c r="S611" s="47"/>
      <c r="U611" s="47"/>
      <c r="V611" s="47"/>
      <c r="W611" s="2"/>
      <c r="Y611" s="3">
        <f>Y591</f>
        <v>6</v>
      </c>
      <c r="Z611" s="3" t="s">
        <v>42</v>
      </c>
      <c r="AE611" s="1">
        <f>N611</f>
        <v>18.220815150770033</v>
      </c>
    </row>
    <row r="612" spans="1:31" ht="13.5" customHeight="1">
      <c r="L612" s="60" t="s">
        <v>41</v>
      </c>
      <c r="N612" s="3">
        <f>N592</f>
        <v>15</v>
      </c>
      <c r="O612" s="1" t="s">
        <v>1</v>
      </c>
    </row>
    <row r="615" spans="1:31" ht="13.5" customHeight="1" thickBot="1"/>
    <row r="616" spans="1:31" ht="13.5" customHeight="1">
      <c r="B616" s="14" t="s">
        <v>40</v>
      </c>
      <c r="C616" s="15"/>
      <c r="D616" s="15"/>
      <c r="E616" s="15"/>
      <c r="F616" s="15"/>
      <c r="G616" s="15"/>
      <c r="H616" s="15" t="s">
        <v>39</v>
      </c>
      <c r="I616" s="16"/>
      <c r="J616" s="14" t="s">
        <v>38</v>
      </c>
      <c r="K616" s="15"/>
      <c r="L616" s="15"/>
      <c r="M616" s="15"/>
      <c r="N616" s="15" t="s">
        <v>37</v>
      </c>
      <c r="O616" s="15"/>
      <c r="P616" s="15"/>
      <c r="Q616" s="15"/>
      <c r="R616" s="15"/>
      <c r="S616" s="16"/>
      <c r="T616" s="14" t="s">
        <v>36</v>
      </c>
      <c r="U616" s="15"/>
      <c r="V616" s="16"/>
      <c r="W616" s="14"/>
      <c r="X616" s="15"/>
      <c r="Y616" s="15"/>
      <c r="Z616" s="16"/>
    </row>
    <row r="617" spans="1:31" ht="13.5" customHeight="1">
      <c r="B617" s="17" t="s">
        <v>35</v>
      </c>
      <c r="C617" s="18" t="s">
        <v>22</v>
      </c>
      <c r="D617" s="18"/>
      <c r="E617" s="18" t="s">
        <v>34</v>
      </c>
      <c r="F617" s="18" t="s">
        <v>33</v>
      </c>
      <c r="G617" s="18" t="s">
        <v>7</v>
      </c>
      <c r="H617" s="18" t="s">
        <v>32</v>
      </c>
      <c r="I617" s="19" t="s">
        <v>22</v>
      </c>
      <c r="J617" s="17" t="s">
        <v>31</v>
      </c>
      <c r="K617" s="18"/>
      <c r="L617" s="18" t="s">
        <v>30</v>
      </c>
      <c r="M617" s="18"/>
      <c r="N617" s="18" t="s">
        <v>29</v>
      </c>
      <c r="O617" s="18"/>
      <c r="P617" s="18" t="s">
        <v>28</v>
      </c>
      <c r="Q617" s="20" t="s">
        <v>27</v>
      </c>
      <c r="R617" s="21" t="s">
        <v>26</v>
      </c>
      <c r="S617" s="22" t="s">
        <v>7</v>
      </c>
      <c r="T617" s="23" t="s">
        <v>25</v>
      </c>
      <c r="U617" s="24" t="s">
        <v>24</v>
      </c>
      <c r="V617" s="25" t="s">
        <v>7</v>
      </c>
      <c r="W617" s="26" t="s">
        <v>23</v>
      </c>
      <c r="X617" s="4" t="s">
        <v>22</v>
      </c>
      <c r="Y617" s="4" t="s">
        <v>21</v>
      </c>
      <c r="Z617" s="5" t="s">
        <v>20</v>
      </c>
    </row>
    <row r="618" spans="1:31" ht="13.5" customHeight="1">
      <c r="B618" s="54" t="s">
        <v>3</v>
      </c>
      <c r="C618" s="28" t="s">
        <v>17</v>
      </c>
      <c r="D618" s="20" t="s">
        <v>13</v>
      </c>
      <c r="E618" s="20" t="s">
        <v>19</v>
      </c>
      <c r="F618" s="28" t="s">
        <v>19</v>
      </c>
      <c r="G618" s="20" t="s">
        <v>3</v>
      </c>
      <c r="H618" s="20" t="s">
        <v>19</v>
      </c>
      <c r="I618" s="29" t="s">
        <v>12</v>
      </c>
      <c r="J618" s="55" t="s">
        <v>18</v>
      </c>
      <c r="K618" s="20" t="s">
        <v>17</v>
      </c>
      <c r="L618" s="56" t="s">
        <v>16</v>
      </c>
      <c r="M618" s="20" t="s">
        <v>15</v>
      </c>
      <c r="N618" s="20" t="s">
        <v>14</v>
      </c>
      <c r="O618" s="20" t="s">
        <v>13</v>
      </c>
      <c r="P618" s="20" t="s">
        <v>12</v>
      </c>
      <c r="Q618" s="20" t="s">
        <v>11</v>
      </c>
      <c r="R618" s="21" t="s">
        <v>11</v>
      </c>
      <c r="S618" s="22" t="s">
        <v>10</v>
      </c>
      <c r="T618" s="23" t="s">
        <v>9</v>
      </c>
      <c r="U618" s="24" t="s">
        <v>9</v>
      </c>
      <c r="V618" s="33" t="s">
        <v>8</v>
      </c>
      <c r="W618" s="34" t="s">
        <v>7</v>
      </c>
      <c r="X618" s="4" t="s">
        <v>6</v>
      </c>
      <c r="Y618" s="6" t="s">
        <v>5</v>
      </c>
      <c r="Z618" s="7" t="s">
        <v>5</v>
      </c>
    </row>
    <row r="619" spans="1:31" ht="13.5" customHeight="1" thickBot="1">
      <c r="B619" s="57"/>
      <c r="C619" s="3">
        <f>C599</f>
        <v>1.05</v>
      </c>
      <c r="D619" s="37"/>
      <c r="E619" s="38"/>
      <c r="F619" s="38"/>
      <c r="G619" s="37"/>
      <c r="H619" s="37"/>
      <c r="I619" s="39"/>
      <c r="J619" s="58" t="s">
        <v>4</v>
      </c>
      <c r="K619" s="44"/>
      <c r="L619" s="59"/>
      <c r="M619" s="37"/>
      <c r="N619" s="37"/>
      <c r="O619" s="37"/>
      <c r="P619" s="37"/>
      <c r="Q619" s="42"/>
      <c r="R619" s="42"/>
      <c r="S619" s="52" t="s">
        <v>3</v>
      </c>
      <c r="T619" s="43"/>
      <c r="U619" s="44"/>
      <c r="V619" s="39" t="s">
        <v>3</v>
      </c>
      <c r="W619" s="45" t="s">
        <v>3</v>
      </c>
      <c r="X619" s="8" t="s">
        <v>2</v>
      </c>
      <c r="Y619" s="9" t="s">
        <v>1</v>
      </c>
      <c r="Z619" s="13" t="s">
        <v>0</v>
      </c>
    </row>
    <row r="620" spans="1:31" ht="13.5" customHeight="1">
      <c r="A620" s="1">
        <v>1</v>
      </c>
      <c r="B620" s="3">
        <f t="shared" ref="B620:B629" si="905">B600</f>
        <v>1000</v>
      </c>
      <c r="C620" s="1">
        <f t="shared" ref="C620:C629" si="906">IF(B620&lt;1,0.000001,C600*(1+AB600))</f>
        <v>4.3487498912605969E-2</v>
      </c>
      <c r="D620" s="1">
        <f t="shared" si="903"/>
        <v>0.89750868859576316</v>
      </c>
      <c r="E620" s="1">
        <f t="shared" ref="E620:E629" si="907">R620</f>
        <v>73.191703063202283</v>
      </c>
      <c r="F620" s="1">
        <f t="shared" ref="F620:F629" si="908">F600</f>
        <v>20</v>
      </c>
      <c r="G620" s="1">
        <f t="shared" ref="G620:G629" si="909">(E620-F620)*C620*(1-D620)*4200</f>
        <v>995.73704999970948</v>
      </c>
      <c r="H620" s="1">
        <f t="shared" ref="H620:H629" si="910">(E620-F620)*D620+F620</f>
        <v>67.740015660429918</v>
      </c>
      <c r="I620" s="1">
        <f t="shared" ref="I620:I629" si="911">B620*0.001*6/C620</f>
        <v>137.97068468016093</v>
      </c>
      <c r="J620" s="3">
        <f t="shared" ref="J620:J629" si="912">J600</f>
        <v>10</v>
      </c>
      <c r="K620" s="47">
        <f t="shared" ref="K620:K629" si="913">K619+C620</f>
        <v>4.3487498912605969E-2</v>
      </c>
      <c r="L620" s="3">
        <f t="shared" ref="L620:L629" si="914">L600</f>
        <v>3</v>
      </c>
      <c r="M620" s="47">
        <f t="shared" ref="M620:M629" si="915">K620/(J620*J620*3.14/4000)</f>
        <v>0.55398087786759198</v>
      </c>
      <c r="N620" s="47">
        <f t="shared" ref="N620:N629" si="916">L620*26400/J620^1.27*M620^1.83*$N$69</f>
        <v>1803.9754844292747</v>
      </c>
      <c r="O620" s="1">
        <f t="shared" ref="O620:O629" si="917">EXP(-(J620+2)*3.14/1000*$O$66/(M620*J620*J620*3.14/4000*4200)*L620)</f>
        <v>0.99383014151777438</v>
      </c>
      <c r="P620" s="1">
        <f t="shared" ref="P620:P629" si="918">L620/M620</f>
        <v>5.4153493736963165</v>
      </c>
      <c r="Q620" s="1">
        <f t="shared" ref="Q620:Q629" si="919">R621</f>
        <v>73.521925770904957</v>
      </c>
      <c r="R620" s="1">
        <f t="shared" ref="R620:R629" si="920">(Q620-F620)*O620+F620</f>
        <v>73.191703063202283</v>
      </c>
      <c r="S620" s="47">
        <f t="shared" ref="S620:S629" si="921">K620*(1-O620)*4200*(Q620-F620)</f>
        <v>60.314350496977823</v>
      </c>
      <c r="T620" s="1">
        <f t="shared" ref="T620:T629" si="922">(U619*K619+H620*C620)/K620</f>
        <v>67.740015660429918</v>
      </c>
      <c r="U620" s="47">
        <f t="shared" ref="U620:U629" si="923">(T620-F620)*O620+F620</f>
        <v>67.445466519865832</v>
      </c>
      <c r="V620" s="47">
        <f t="shared" ref="V620:V629" si="924">K620*(1-O620)*4200*(T620-F620)</f>
        <v>53.798662805957079</v>
      </c>
      <c r="W620" s="2">
        <f t="shared" si="904"/>
        <v>995.74704999970947</v>
      </c>
      <c r="X620" s="1">
        <f t="shared" ref="X620:X629" si="925">C620*3600</f>
        <v>156.5549960853815</v>
      </c>
      <c r="Y620" s="1">
        <f t="shared" ref="Y620:Y629" si="926">Y621-2*N620/1000</f>
        <v>6</v>
      </c>
      <c r="Z620" s="2">
        <f t="shared" ref="Z620:Z629" si="927">-1.1-1.8*LOG10(Y620/X620/X620)</f>
        <v>5.4001287032980709</v>
      </c>
      <c r="AA620" s="3">
        <f t="shared" ref="AA620:AA629" si="928">AA600</f>
        <v>1000</v>
      </c>
      <c r="AB620" s="1">
        <f t="shared" ref="AB620" si="929">((AA620/W620)-1)*AB$23+AC620+AD620</f>
        <v>4.2711148381426867E-3</v>
      </c>
      <c r="AC620" s="1">
        <f>((N632/N631)-1)*AB$24</f>
        <v>0</v>
      </c>
      <c r="AD620" s="64">
        <f t="shared" ref="AD620" si="930">(AC$21-(X620/1000/SQRT(Y620/104))*1000/B620)*AB$21</f>
        <v>0</v>
      </c>
      <c r="AE620" s="1">
        <f t="shared" ref="AE620:AE630" si="931">AE621</f>
        <v>18.30010957021155</v>
      </c>
    </row>
    <row r="621" spans="1:31" ht="13.5" customHeight="1">
      <c r="A621" s="1">
        <v>2</v>
      </c>
      <c r="B621" s="3">
        <f t="shared" si="905"/>
        <v>1000</v>
      </c>
      <c r="C621" s="1">
        <f t="shared" si="906"/>
        <v>3.8379060310394557E-2</v>
      </c>
      <c r="D621" s="1">
        <f t="shared" si="903"/>
        <v>0.88443300024715865</v>
      </c>
      <c r="E621" s="1">
        <f t="shared" si="907"/>
        <v>73.521925770904957</v>
      </c>
      <c r="F621" s="1">
        <f t="shared" si="908"/>
        <v>20</v>
      </c>
      <c r="G621" s="1">
        <f t="shared" si="909"/>
        <v>997.0322299885446</v>
      </c>
      <c r="H621" s="1">
        <f t="shared" si="910"/>
        <v>67.336557388567201</v>
      </c>
      <c r="I621" s="1">
        <f t="shared" si="911"/>
        <v>156.3352503024928</v>
      </c>
      <c r="J621" s="3">
        <f t="shared" si="912"/>
        <v>14.142135623730951</v>
      </c>
      <c r="K621" s="47">
        <f t="shared" si="913"/>
        <v>8.1866559223000526E-2</v>
      </c>
      <c r="L621" s="3">
        <f t="shared" si="914"/>
        <v>3</v>
      </c>
      <c r="M621" s="47">
        <f t="shared" si="915"/>
        <v>0.52144305237579947</v>
      </c>
      <c r="N621" s="47">
        <f t="shared" si="916"/>
        <v>1039.8477287510084</v>
      </c>
      <c r="O621" s="1">
        <f t="shared" si="917"/>
        <v>0.99558738423000515</v>
      </c>
      <c r="P621" s="1">
        <f t="shared" si="918"/>
        <v>5.7532648797052648</v>
      </c>
      <c r="Q621" s="1">
        <f t="shared" si="919"/>
        <v>73.759144218464783</v>
      </c>
      <c r="R621" s="1">
        <f t="shared" si="920"/>
        <v>73.521925770904957</v>
      </c>
      <c r="S621" s="47">
        <f t="shared" si="921"/>
        <v>81.565083960967698</v>
      </c>
      <c r="T621" s="1">
        <f t="shared" si="922"/>
        <v>67.39440989603635</v>
      </c>
      <c r="U621" s="47">
        <f t="shared" si="923"/>
        <v>67.185276575519509</v>
      </c>
      <c r="V621" s="47">
        <f t="shared" si="924"/>
        <v>71.908306552300957</v>
      </c>
      <c r="W621" s="2">
        <f t="shared" si="904"/>
        <v>997.04222998854459</v>
      </c>
      <c r="X621" s="1">
        <f t="shared" si="925"/>
        <v>138.16461711742039</v>
      </c>
      <c r="Y621" s="1">
        <f t="shared" si="926"/>
        <v>9.6079509688585496</v>
      </c>
      <c r="Z621" s="2">
        <f t="shared" si="927"/>
        <v>4.836693215622379</v>
      </c>
      <c r="AA621" s="3">
        <f t="shared" si="928"/>
        <v>1000</v>
      </c>
      <c r="AB621" s="1">
        <f t="shared" si="873"/>
        <v>2.9665443674229408E-3</v>
      </c>
      <c r="AC621" s="1">
        <f t="shared" ref="AC621:AC629" si="932">AC620</f>
        <v>0</v>
      </c>
      <c r="AD621" s="64">
        <f t="shared" si="874"/>
        <v>0</v>
      </c>
      <c r="AE621" s="1">
        <f t="shared" si="931"/>
        <v>18.30010957021155</v>
      </c>
    </row>
    <row r="622" spans="1:31" ht="13.5" customHeight="1">
      <c r="A622" s="1">
        <v>3</v>
      </c>
      <c r="B622" s="3">
        <f t="shared" si="905"/>
        <v>1000</v>
      </c>
      <c r="C622" s="1">
        <f t="shared" si="906"/>
        <v>3.5318234148152897E-2</v>
      </c>
      <c r="D622" s="1">
        <f t="shared" si="903"/>
        <v>0.87487645515462331</v>
      </c>
      <c r="E622" s="1">
        <f t="shared" si="907"/>
        <v>73.759144218464783</v>
      </c>
      <c r="F622" s="1">
        <f t="shared" si="908"/>
        <v>20</v>
      </c>
      <c r="G622" s="1">
        <f t="shared" si="909"/>
        <v>997.79117455190794</v>
      </c>
      <c r="H622" s="1">
        <f t="shared" si="910"/>
        <v>67.032609525996634</v>
      </c>
      <c r="I622" s="1">
        <f t="shared" si="911"/>
        <v>169.88391817187704</v>
      </c>
      <c r="J622" s="3">
        <f t="shared" si="912"/>
        <v>17.320508075688775</v>
      </c>
      <c r="K622" s="47">
        <f t="shared" si="913"/>
        <v>0.11718479337115342</v>
      </c>
      <c r="L622" s="3">
        <f t="shared" si="914"/>
        <v>3</v>
      </c>
      <c r="M622" s="47">
        <f t="shared" si="915"/>
        <v>0.49759997185203136</v>
      </c>
      <c r="N622" s="47">
        <f t="shared" si="916"/>
        <v>737.82647222199012</v>
      </c>
      <c r="O622" s="1">
        <f t="shared" si="917"/>
        <v>0.99630898196685935</v>
      </c>
      <c r="P622" s="1">
        <f t="shared" si="918"/>
        <v>6.0289392477941979</v>
      </c>
      <c r="Q622" s="1">
        <f t="shared" si="919"/>
        <v>73.958305296351327</v>
      </c>
      <c r="R622" s="1">
        <f t="shared" si="920"/>
        <v>73.759144218464783</v>
      </c>
      <c r="S622" s="47">
        <f t="shared" si="921"/>
        <v>98.022328990784217</v>
      </c>
      <c r="T622" s="1">
        <f t="shared" si="922"/>
        <v>67.139264371660616</v>
      </c>
      <c r="U622" s="47">
        <f t="shared" si="923"/>
        <v>66.965272496795833</v>
      </c>
      <c r="V622" s="47">
        <f t="shared" si="924"/>
        <v>85.634647998014927</v>
      </c>
      <c r="W622" s="2">
        <f t="shared" si="904"/>
        <v>997.80117455190793</v>
      </c>
      <c r="X622" s="1">
        <f t="shared" si="925"/>
        <v>127.14564293335043</v>
      </c>
      <c r="Y622" s="1">
        <f t="shared" si="926"/>
        <v>11.687646426360567</v>
      </c>
      <c r="Z622" s="2">
        <f t="shared" si="927"/>
        <v>4.5535766192229001</v>
      </c>
      <c r="AA622" s="3">
        <f t="shared" si="928"/>
        <v>1000</v>
      </c>
      <c r="AB622" s="1">
        <f t="shared" si="873"/>
        <v>2.203670935825075E-3</v>
      </c>
      <c r="AC622" s="1">
        <f t="shared" si="932"/>
        <v>0</v>
      </c>
      <c r="AD622" s="64">
        <f t="shared" si="874"/>
        <v>0</v>
      </c>
      <c r="AE622" s="1">
        <f t="shared" si="931"/>
        <v>18.30010957021155</v>
      </c>
    </row>
    <row r="623" spans="1:31" ht="13.5" customHeight="1">
      <c r="A623" s="1">
        <v>4</v>
      </c>
      <c r="B623" s="3">
        <f t="shared" si="905"/>
        <v>1000</v>
      </c>
      <c r="C623" s="1">
        <f t="shared" si="906"/>
        <v>3.3067773059036486E-2</v>
      </c>
      <c r="D623" s="1">
        <f t="shared" si="903"/>
        <v>0.86678182705528328</v>
      </c>
      <c r="E623" s="1">
        <f t="shared" si="907"/>
        <v>73.958305296351327</v>
      </c>
      <c r="F623" s="1">
        <f t="shared" si="908"/>
        <v>20</v>
      </c>
      <c r="G623" s="1">
        <f t="shared" si="909"/>
        <v>998.33434707706613</v>
      </c>
      <c r="H623" s="1">
        <f t="shared" si="910"/>
        <v>66.770078449578165</v>
      </c>
      <c r="I623" s="1">
        <f t="shared" si="911"/>
        <v>181.44554183579561</v>
      </c>
      <c r="J623" s="3">
        <f t="shared" si="912"/>
        <v>20</v>
      </c>
      <c r="K623" s="47">
        <f t="shared" si="913"/>
        <v>0.15025256643018992</v>
      </c>
      <c r="L623" s="3">
        <f t="shared" si="914"/>
        <v>3</v>
      </c>
      <c r="M623" s="47">
        <f t="shared" si="915"/>
        <v>0.47851135805792966</v>
      </c>
      <c r="N623" s="47">
        <f t="shared" si="916"/>
        <v>572.17637109360214</v>
      </c>
      <c r="O623" s="1">
        <f t="shared" si="917"/>
        <v>0.99672139211326727</v>
      </c>
      <c r="P623" s="1">
        <f t="shared" si="918"/>
        <v>6.2694436599701637</v>
      </c>
      <c r="Q623" s="1">
        <f t="shared" si="919"/>
        <v>74.135795341913877</v>
      </c>
      <c r="R623" s="1">
        <f t="shared" si="920"/>
        <v>73.958305296351327</v>
      </c>
      <c r="S623" s="47">
        <f t="shared" si="921"/>
        <v>112.0070064186535</v>
      </c>
      <c r="T623" s="1">
        <f t="shared" si="922"/>
        <v>66.922313946341603</v>
      </c>
      <c r="U623" s="47">
        <f t="shared" si="923"/>
        <v>66.768474077773377</v>
      </c>
      <c r="V623" s="47">
        <f t="shared" si="924"/>
        <v>97.082307300967329</v>
      </c>
      <c r="W623" s="2">
        <f t="shared" si="904"/>
        <v>998.34434707706612</v>
      </c>
      <c r="X623" s="1">
        <f t="shared" si="925"/>
        <v>119.04398301253134</v>
      </c>
      <c r="Y623" s="1">
        <f t="shared" si="926"/>
        <v>13.163299370804548</v>
      </c>
      <c r="Z623" s="2">
        <f t="shared" si="927"/>
        <v>4.3576902518651615</v>
      </c>
      <c r="AA623" s="3">
        <f t="shared" si="928"/>
        <v>1000</v>
      </c>
      <c r="AB623" s="1">
        <f t="shared" si="873"/>
        <v>1.658398655515203E-3</v>
      </c>
      <c r="AC623" s="1">
        <f t="shared" si="932"/>
        <v>0</v>
      </c>
      <c r="AD623" s="64">
        <f t="shared" si="874"/>
        <v>0</v>
      </c>
      <c r="AE623" s="1">
        <f t="shared" si="931"/>
        <v>18.30010957021155</v>
      </c>
    </row>
    <row r="624" spans="1:31" ht="13.5" customHeight="1">
      <c r="A624" s="1">
        <v>5</v>
      </c>
      <c r="B624" s="3">
        <f t="shared" si="905"/>
        <v>1000</v>
      </c>
      <c r="C624" s="1">
        <f t="shared" si="906"/>
        <v>3.127091734905816E-2</v>
      </c>
      <c r="D624" s="1">
        <f t="shared" si="903"/>
        <v>0.85952979814602093</v>
      </c>
      <c r="E624" s="1">
        <f t="shared" si="907"/>
        <v>74.135795341913877</v>
      </c>
      <c r="F624" s="1">
        <f t="shared" si="908"/>
        <v>20</v>
      </c>
      <c r="G624" s="1">
        <f t="shared" si="909"/>
        <v>998.75424966212142</v>
      </c>
      <c r="H624" s="1">
        <f t="shared" si="910"/>
        <v>66.531329242709532</v>
      </c>
      <c r="I624" s="1">
        <f t="shared" si="911"/>
        <v>191.87156977282319</v>
      </c>
      <c r="J624" s="3">
        <f t="shared" si="912"/>
        <v>22.360679774997898</v>
      </c>
      <c r="K624" s="47">
        <f t="shared" si="913"/>
        <v>0.18152348377924807</v>
      </c>
      <c r="L624" s="3">
        <f t="shared" si="914"/>
        <v>3</v>
      </c>
      <c r="M624" s="47">
        <f t="shared" si="915"/>
        <v>0.46248021345031348</v>
      </c>
      <c r="N624" s="47">
        <f t="shared" si="916"/>
        <v>466.56238118144722</v>
      </c>
      <c r="O624" s="1">
        <f t="shared" si="917"/>
        <v>0.99699458284750031</v>
      </c>
      <c r="P624" s="1">
        <f t="shared" si="918"/>
        <v>6.4867640014664207</v>
      </c>
      <c r="Q624" s="1">
        <f t="shared" si="919"/>
        <v>74.298986447145467</v>
      </c>
      <c r="R624" s="1">
        <f t="shared" si="920"/>
        <v>74.135795341913877</v>
      </c>
      <c r="S624" s="47">
        <f t="shared" si="921"/>
        <v>124.41667536238818</v>
      </c>
      <c r="T624" s="1">
        <f t="shared" si="922"/>
        <v>66.727621311053369</v>
      </c>
      <c r="U624" s="47">
        <f t="shared" si="923"/>
        <v>66.587185316469629</v>
      </c>
      <c r="V624" s="47">
        <f t="shared" si="924"/>
        <v>107.0682101363527</v>
      </c>
      <c r="W624" s="2">
        <f t="shared" si="904"/>
        <v>998.76424966212141</v>
      </c>
      <c r="X624" s="1">
        <f t="shared" si="925"/>
        <v>112.57530245660938</v>
      </c>
      <c r="Y624" s="1">
        <f t="shared" si="926"/>
        <v>14.307652112991752</v>
      </c>
      <c r="Z624" s="2">
        <f t="shared" si="927"/>
        <v>4.2051721715303536</v>
      </c>
      <c r="AA624" s="3">
        <f t="shared" si="928"/>
        <v>1000</v>
      </c>
      <c r="AB624" s="1">
        <f t="shared" si="873"/>
        <v>1.2372793061992127E-3</v>
      </c>
      <c r="AC624" s="1">
        <f t="shared" si="932"/>
        <v>0</v>
      </c>
      <c r="AD624" s="64">
        <f t="shared" si="874"/>
        <v>0</v>
      </c>
      <c r="AE624" s="1">
        <f t="shared" si="931"/>
        <v>18.30010957021155</v>
      </c>
    </row>
    <row r="625" spans="1:31" ht="13.5" customHeight="1">
      <c r="A625" s="1">
        <v>6</v>
      </c>
      <c r="B625" s="3">
        <f t="shared" si="905"/>
        <v>1000</v>
      </c>
      <c r="C625" s="1">
        <f t="shared" si="906"/>
        <v>2.9769889111598394E-2</v>
      </c>
      <c r="D625" s="1">
        <f t="shared" si="903"/>
        <v>0.85284082340479439</v>
      </c>
      <c r="E625" s="1">
        <f t="shared" si="907"/>
        <v>74.298986447145467</v>
      </c>
      <c r="F625" s="1">
        <f t="shared" si="908"/>
        <v>20</v>
      </c>
      <c r="G625" s="1">
        <f t="shared" si="909"/>
        <v>999.09222567043844</v>
      </c>
      <c r="H625" s="1">
        <f t="shared" si="910"/>
        <v>66.308392311629319</v>
      </c>
      <c r="I625" s="1">
        <f t="shared" si="911"/>
        <v>201.54593043688533</v>
      </c>
      <c r="J625" s="3">
        <f t="shared" si="912"/>
        <v>24.494897427831781</v>
      </c>
      <c r="K625" s="47">
        <f t="shared" si="913"/>
        <v>0.21129337289084646</v>
      </c>
      <c r="L625" s="3">
        <f t="shared" si="914"/>
        <v>3</v>
      </c>
      <c r="M625" s="47">
        <f t="shared" si="915"/>
        <v>0.44860588724171224</v>
      </c>
      <c r="N625" s="47">
        <f t="shared" si="916"/>
        <v>393.02668956550713</v>
      </c>
      <c r="O625" s="1">
        <f t="shared" si="917"/>
        <v>0.99719154534588395</v>
      </c>
      <c r="P625" s="1">
        <f t="shared" si="918"/>
        <v>6.6873843730534404</v>
      </c>
      <c r="Q625" s="1">
        <f t="shared" si="919"/>
        <v>74.451912173314128</v>
      </c>
      <c r="R625" s="1">
        <f t="shared" si="920"/>
        <v>74.298986447145467</v>
      </c>
      <c r="S625" s="47">
        <f t="shared" si="921"/>
        <v>135.71120843262665</v>
      </c>
      <c r="T625" s="1">
        <f t="shared" si="922"/>
        <v>66.54790515956914</v>
      </c>
      <c r="U625" s="47">
        <f t="shared" si="923"/>
        <v>66.417177478684394</v>
      </c>
      <c r="V625" s="47">
        <f t="shared" si="924"/>
        <v>116.01194902221093</v>
      </c>
      <c r="W625" s="2">
        <f t="shared" si="904"/>
        <v>999.10222567043843</v>
      </c>
      <c r="X625" s="1">
        <f t="shared" si="925"/>
        <v>107.17160080175422</v>
      </c>
      <c r="Y625" s="1">
        <f t="shared" si="926"/>
        <v>15.240776875354646</v>
      </c>
      <c r="Z625" s="2">
        <f t="shared" si="927"/>
        <v>4.0788741947253353</v>
      </c>
      <c r="AA625" s="3">
        <f t="shared" si="928"/>
        <v>1000</v>
      </c>
      <c r="AB625" s="1">
        <f t="shared" si="873"/>
        <v>8.9858105256368503E-4</v>
      </c>
      <c r="AC625" s="1">
        <f t="shared" si="932"/>
        <v>0</v>
      </c>
      <c r="AD625" s="64">
        <f t="shared" si="874"/>
        <v>0</v>
      </c>
      <c r="AE625" s="1">
        <f t="shared" si="931"/>
        <v>18.30010957021155</v>
      </c>
    </row>
    <row r="626" spans="1:31" ht="13.5" customHeight="1">
      <c r="A626" s="1">
        <v>7</v>
      </c>
      <c r="B626" s="3">
        <f t="shared" si="905"/>
        <v>1000</v>
      </c>
      <c r="C626" s="1">
        <f t="shared" si="906"/>
        <v>2.8479389650431911E-2</v>
      </c>
      <c r="D626" s="1">
        <f t="shared" si="903"/>
        <v>0.84656175699102854</v>
      </c>
      <c r="E626" s="1">
        <f t="shared" si="907"/>
        <v>74.451912173314128</v>
      </c>
      <c r="F626" s="1">
        <f t="shared" si="908"/>
        <v>20</v>
      </c>
      <c r="G626" s="1">
        <f t="shared" si="909"/>
        <v>999.37094788964555</v>
      </c>
      <c r="H626" s="1">
        <f t="shared" si="910"/>
        <v>66.096906440961988</v>
      </c>
      <c r="I626" s="1">
        <f t="shared" si="911"/>
        <v>210.67867231870278</v>
      </c>
      <c r="J626" s="3">
        <f t="shared" si="912"/>
        <v>26.457513110645905</v>
      </c>
      <c r="K626" s="47">
        <f t="shared" si="913"/>
        <v>0.23977276254127838</v>
      </c>
      <c r="L626" s="3">
        <f t="shared" si="914"/>
        <v>3</v>
      </c>
      <c r="M626" s="47">
        <f t="shared" si="915"/>
        <v>0.4363471565810344</v>
      </c>
      <c r="N626" s="47">
        <f t="shared" si="916"/>
        <v>338.7589469589667</v>
      </c>
      <c r="O626" s="1">
        <f t="shared" si="917"/>
        <v>0.9973415970838414</v>
      </c>
      <c r="P626" s="1">
        <f t="shared" si="918"/>
        <v>6.8752596522142513</v>
      </c>
      <c r="Q626" s="1">
        <f t="shared" si="919"/>
        <v>74.597053138591434</v>
      </c>
      <c r="R626" s="1">
        <f t="shared" si="920"/>
        <v>74.451912173314128</v>
      </c>
      <c r="S626" s="47">
        <f t="shared" si="921"/>
        <v>146.1635708502705</v>
      </c>
      <c r="T626" s="1">
        <f t="shared" si="922"/>
        <v>66.379136778896921</v>
      </c>
      <c r="U626" s="47">
        <f t="shared" si="923"/>
        <v>66.255842346434974</v>
      </c>
      <c r="V626" s="47">
        <f t="shared" si="924"/>
        <v>124.16311604490342</v>
      </c>
      <c r="W626" s="2">
        <f t="shared" si="904"/>
        <v>999.38094788964554</v>
      </c>
      <c r="X626" s="1">
        <f t="shared" si="925"/>
        <v>102.52580274155488</v>
      </c>
      <c r="Y626" s="1">
        <f t="shared" si="926"/>
        <v>16.02683025448566</v>
      </c>
      <c r="Z626" s="2">
        <f t="shared" si="927"/>
        <v>3.9702736951037152</v>
      </c>
      <c r="AA626" s="3">
        <f t="shared" si="928"/>
        <v>1000</v>
      </c>
      <c r="AB626" s="1">
        <f t="shared" si="873"/>
        <v>6.1943557325339071E-4</v>
      </c>
      <c r="AC626" s="1">
        <f t="shared" si="932"/>
        <v>0</v>
      </c>
      <c r="AD626" s="64">
        <f t="shared" si="874"/>
        <v>0</v>
      </c>
      <c r="AE626" s="1">
        <f t="shared" si="931"/>
        <v>18.30010957021155</v>
      </c>
    </row>
    <row r="627" spans="1:31" ht="13.5" customHeight="1">
      <c r="A627" s="1">
        <v>8</v>
      </c>
      <c r="B627" s="3">
        <f t="shared" si="905"/>
        <v>1000</v>
      </c>
      <c r="C627" s="1">
        <f t="shared" si="906"/>
        <v>2.7347458372823132E-2</v>
      </c>
      <c r="D627" s="1">
        <f t="shared" si="903"/>
        <v>0.84059838428915279</v>
      </c>
      <c r="E627" s="1">
        <f t="shared" si="907"/>
        <v>74.597053138591434</v>
      </c>
      <c r="F627" s="1">
        <f t="shared" si="908"/>
        <v>20</v>
      </c>
      <c r="G627" s="1">
        <f t="shared" si="909"/>
        <v>999.60445241066952</v>
      </c>
      <c r="H627" s="1">
        <f t="shared" si="910"/>
        <v>65.894194655248981</v>
      </c>
      <c r="I627" s="1">
        <f t="shared" si="911"/>
        <v>219.3988164531799</v>
      </c>
      <c r="J627" s="3">
        <f t="shared" si="912"/>
        <v>28.284271247461902</v>
      </c>
      <c r="K627" s="47">
        <f t="shared" si="913"/>
        <v>0.26712022091410154</v>
      </c>
      <c r="L627" s="3">
        <f t="shared" si="914"/>
        <v>3</v>
      </c>
      <c r="M627" s="47">
        <f t="shared" si="915"/>
        <v>0.42535067024538453</v>
      </c>
      <c r="N627" s="47">
        <f t="shared" si="916"/>
        <v>297.01630101623783</v>
      </c>
      <c r="O627" s="1">
        <f t="shared" si="917"/>
        <v>0.9974604315101675</v>
      </c>
      <c r="P627" s="1">
        <f t="shared" si="918"/>
        <v>7.0530040502094469</v>
      </c>
      <c r="Q627" s="1">
        <f t="shared" si="919"/>
        <v>74.736059109563683</v>
      </c>
      <c r="R627" s="1">
        <f t="shared" si="920"/>
        <v>74.597053138591434</v>
      </c>
      <c r="S627" s="47">
        <f t="shared" si="921"/>
        <v>155.95148383285169</v>
      </c>
      <c r="T627" s="1">
        <f t="shared" si="922"/>
        <v>66.218817275302229</v>
      </c>
      <c r="U627" s="47">
        <f t="shared" si="923"/>
        <v>66.101441423312536</v>
      </c>
      <c r="V627" s="47">
        <f t="shared" si="924"/>
        <v>131.68454675655363</v>
      </c>
      <c r="W627" s="2">
        <f t="shared" si="904"/>
        <v>999.61445241066951</v>
      </c>
      <c r="X627" s="1">
        <f t="shared" si="925"/>
        <v>98.450850142163276</v>
      </c>
      <c r="Y627" s="1">
        <f t="shared" si="926"/>
        <v>16.704348148403593</v>
      </c>
      <c r="Z627" s="2">
        <f t="shared" si="927"/>
        <v>3.8744969353480081</v>
      </c>
      <c r="AA627" s="3">
        <f t="shared" si="928"/>
        <v>1000</v>
      </c>
      <c r="AB627" s="1">
        <f t="shared" si="873"/>
        <v>3.8569629360662994E-4</v>
      </c>
      <c r="AC627" s="1">
        <f t="shared" si="932"/>
        <v>0</v>
      </c>
      <c r="AD627" s="64">
        <f t="shared" si="874"/>
        <v>0</v>
      </c>
      <c r="AE627" s="1">
        <f t="shared" si="931"/>
        <v>18.30010957021155</v>
      </c>
    </row>
    <row r="628" spans="1:31" ht="13.5" customHeight="1">
      <c r="A628" s="1">
        <v>9</v>
      </c>
      <c r="B628" s="3">
        <f t="shared" si="905"/>
        <v>1000</v>
      </c>
      <c r="C628" s="1">
        <f t="shared" si="906"/>
        <v>2.6339817908131107E-2</v>
      </c>
      <c r="D628" s="1">
        <f t="shared" si="903"/>
        <v>0.83488805802089683</v>
      </c>
      <c r="E628" s="1">
        <f t="shared" si="907"/>
        <v>74.736059109563683</v>
      </c>
      <c r="F628" s="1">
        <f t="shared" si="908"/>
        <v>20</v>
      </c>
      <c r="G628" s="1">
        <f t="shared" si="909"/>
        <v>999.80215829988219</v>
      </c>
      <c r="H628" s="1">
        <f t="shared" si="910"/>
        <v>65.698482093700648</v>
      </c>
      <c r="I628" s="1">
        <f t="shared" si="911"/>
        <v>227.79200755779709</v>
      </c>
      <c r="J628" s="3">
        <f t="shared" si="912"/>
        <v>30</v>
      </c>
      <c r="K628" s="47">
        <f t="shared" si="913"/>
        <v>0.29346003882223265</v>
      </c>
      <c r="L628" s="3">
        <f t="shared" si="914"/>
        <v>3</v>
      </c>
      <c r="M628" s="47">
        <f t="shared" si="915"/>
        <v>0.41537160484392449</v>
      </c>
      <c r="N628" s="47">
        <f t="shared" si="916"/>
        <v>263.89463027493991</v>
      </c>
      <c r="O628" s="1">
        <f t="shared" si="917"/>
        <v>0.99755729145313354</v>
      </c>
      <c r="P628" s="1">
        <f t="shared" si="918"/>
        <v>7.222448441383583</v>
      </c>
      <c r="Q628" s="1">
        <f t="shared" si="919"/>
        <v>74.87009074920411</v>
      </c>
      <c r="R628" s="1">
        <f t="shared" si="920"/>
        <v>74.736059109563683</v>
      </c>
      <c r="S628" s="47">
        <f t="shared" si="921"/>
        <v>165.19830672359637</v>
      </c>
      <c r="T628" s="1">
        <f t="shared" si="922"/>
        <v>66.065273380096315</v>
      </c>
      <c r="U628" s="47">
        <f t="shared" si="923"/>
        <v>65.952749343097011</v>
      </c>
      <c r="V628" s="47">
        <f t="shared" si="924"/>
        <v>138.68949471824689</v>
      </c>
      <c r="W628" s="2">
        <f t="shared" si="904"/>
        <v>999.81215829988219</v>
      </c>
      <c r="X628" s="1">
        <f t="shared" si="925"/>
        <v>94.823344469271987</v>
      </c>
      <c r="Y628" s="1">
        <f t="shared" si="926"/>
        <v>17.298380750436067</v>
      </c>
      <c r="Z628" s="2">
        <f t="shared" si="927"/>
        <v>3.7884851549246119</v>
      </c>
      <c r="AA628" s="3">
        <f t="shared" si="928"/>
        <v>1000</v>
      </c>
      <c r="AB628" s="1">
        <f t="shared" si="873"/>
        <v>1.878769912513345E-4</v>
      </c>
      <c r="AC628" s="1">
        <f t="shared" si="932"/>
        <v>0</v>
      </c>
      <c r="AD628" s="64">
        <f t="shared" si="874"/>
        <v>0</v>
      </c>
      <c r="AE628" s="1">
        <f t="shared" si="931"/>
        <v>18.30010957021155</v>
      </c>
    </row>
    <row r="629" spans="1:31" ht="13.5" customHeight="1">
      <c r="A629" s="1">
        <v>10</v>
      </c>
      <c r="B629" s="3">
        <f t="shared" si="905"/>
        <v>1000</v>
      </c>
      <c r="C629" s="1">
        <f t="shared" si="906"/>
        <v>2.5432526703755017E-2</v>
      </c>
      <c r="D629" s="1">
        <f t="shared" si="903"/>
        <v>0.82938672349695042</v>
      </c>
      <c r="E629" s="1">
        <f t="shared" si="907"/>
        <v>74.87009074920411</v>
      </c>
      <c r="F629" s="1">
        <f t="shared" si="908"/>
        <v>20</v>
      </c>
      <c r="G629" s="1">
        <f t="shared" si="909"/>
        <v>999.97076082644719</v>
      </c>
      <c r="H629" s="1">
        <f t="shared" si="910"/>
        <v>65.508524784462736</v>
      </c>
      <c r="I629" s="1">
        <f t="shared" si="911"/>
        <v>235.91836036936601</v>
      </c>
      <c r="J629" s="3">
        <f t="shared" si="912"/>
        <v>31.622776601683793</v>
      </c>
      <c r="K629" s="47">
        <f t="shared" si="913"/>
        <v>0.31889256552598766</v>
      </c>
      <c r="L629" s="3">
        <f t="shared" si="914"/>
        <v>3</v>
      </c>
      <c r="M629" s="47">
        <f t="shared" si="915"/>
        <v>0.40623256754902887</v>
      </c>
      <c r="N629" s="47">
        <f t="shared" si="916"/>
        <v>236.96977961280098</v>
      </c>
      <c r="O629" s="1">
        <f t="shared" si="917"/>
        <v>0.99763801362189297</v>
      </c>
      <c r="P629" s="1">
        <f t="shared" si="918"/>
        <v>7.3849322768488399</v>
      </c>
      <c r="Q629" s="1">
        <f t="shared" si="919"/>
        <v>75</v>
      </c>
      <c r="R629" s="1">
        <f t="shared" si="920"/>
        <v>74.87009074920411</v>
      </c>
      <c r="S629" s="47">
        <f t="shared" si="921"/>
        <v>173.99379594180871</v>
      </c>
      <c r="T629" s="1">
        <f t="shared" si="922"/>
        <v>65.917321257994757</v>
      </c>
      <c r="U629" s="47">
        <f t="shared" si="923"/>
        <v>65.808865170664205</v>
      </c>
      <c r="V629" s="47">
        <f t="shared" si="924"/>
        <v>145.26052773014572</v>
      </c>
      <c r="W629" s="2">
        <f t="shared" si="904"/>
        <v>999.98076082644718</v>
      </c>
      <c r="X629" s="1">
        <f t="shared" si="925"/>
        <v>91.557096133518058</v>
      </c>
      <c r="Y629" s="1">
        <f t="shared" si="926"/>
        <v>17.826170010985948</v>
      </c>
      <c r="Z629" s="2">
        <f t="shared" si="927"/>
        <v>3.7101867563277406</v>
      </c>
      <c r="AA629" s="3">
        <f t="shared" si="928"/>
        <v>1000</v>
      </c>
      <c r="AB629" s="1">
        <f t="shared" si="873"/>
        <v>1.9239543705751316E-5</v>
      </c>
      <c r="AC629" s="1">
        <f t="shared" si="932"/>
        <v>0</v>
      </c>
      <c r="AD629" s="64">
        <f t="shared" si="874"/>
        <v>0</v>
      </c>
      <c r="AE629" s="1">
        <f t="shared" si="931"/>
        <v>18.30010957021155</v>
      </c>
    </row>
    <row r="630" spans="1:31" ht="13.5" customHeight="1">
      <c r="K630" s="47"/>
      <c r="L630" s="47"/>
      <c r="M630" s="47"/>
      <c r="N630" s="47">
        <f>SUM(N620:N629)</f>
        <v>6150.0547851057754</v>
      </c>
      <c r="O630" s="2" t="s">
        <v>46</v>
      </c>
      <c r="P630" s="2"/>
      <c r="Q630" s="2"/>
      <c r="R630" s="49">
        <f>R610</f>
        <v>75</v>
      </c>
      <c r="S630" s="50" t="s">
        <v>45</v>
      </c>
      <c r="T630" s="2"/>
      <c r="U630" s="11">
        <f>U629</f>
        <v>65.808865170664205</v>
      </c>
      <c r="V630" s="47"/>
      <c r="W630" s="2"/>
      <c r="Y630" s="1">
        <f>N631</f>
        <v>18.30010957021155</v>
      </c>
      <c r="AE630" s="1">
        <f t="shared" si="931"/>
        <v>18.30010957021155</v>
      </c>
    </row>
    <row r="631" spans="1:31" ht="13.5" customHeight="1">
      <c r="K631" s="47"/>
      <c r="L631" s="2" t="s">
        <v>44</v>
      </c>
      <c r="M631" s="2"/>
      <c r="N631" s="47">
        <f>N630*2/1000+Y631</f>
        <v>18.30010957021155</v>
      </c>
      <c r="O631" s="2" t="s">
        <v>1</v>
      </c>
      <c r="P631" s="1">
        <f>SUM(P620:P629)</f>
        <v>65.176789956341935</v>
      </c>
      <c r="Q631" s="1" t="s">
        <v>43</v>
      </c>
      <c r="S631" s="47"/>
      <c r="U631" s="47"/>
      <c r="V631" s="47"/>
      <c r="W631" s="2"/>
      <c r="Y631" s="3">
        <f>Y611</f>
        <v>6</v>
      </c>
      <c r="Z631" s="3" t="s">
        <v>42</v>
      </c>
      <c r="AE631" s="1">
        <f>N631</f>
        <v>18.30010957021155</v>
      </c>
    </row>
    <row r="632" spans="1:31" ht="13.5" customHeight="1">
      <c r="L632" s="60" t="s">
        <v>41</v>
      </c>
      <c r="N632" s="3">
        <f>N612</f>
        <v>15</v>
      </c>
      <c r="O632" s="1" t="s">
        <v>1</v>
      </c>
    </row>
    <row r="635" spans="1:31" ht="13.5" customHeight="1" thickBot="1"/>
    <row r="636" spans="1:31" ht="13.5" customHeight="1">
      <c r="B636" s="14" t="s">
        <v>40</v>
      </c>
      <c r="C636" s="15"/>
      <c r="D636" s="15"/>
      <c r="E636" s="15"/>
      <c r="F636" s="15"/>
      <c r="G636" s="15"/>
      <c r="H636" s="15" t="s">
        <v>39</v>
      </c>
      <c r="I636" s="16"/>
      <c r="J636" s="14" t="s">
        <v>38</v>
      </c>
      <c r="K636" s="15"/>
      <c r="L636" s="15"/>
      <c r="M636" s="15"/>
      <c r="N636" s="15" t="s">
        <v>37</v>
      </c>
      <c r="O636" s="15"/>
      <c r="P636" s="15"/>
      <c r="Q636" s="15"/>
      <c r="R636" s="15"/>
      <c r="S636" s="16"/>
      <c r="T636" s="14" t="s">
        <v>36</v>
      </c>
      <c r="U636" s="15"/>
      <c r="V636" s="16"/>
      <c r="W636" s="14"/>
      <c r="X636" s="15"/>
      <c r="Y636" s="15"/>
      <c r="Z636" s="16"/>
    </row>
    <row r="637" spans="1:31" ht="13.5" customHeight="1">
      <c r="B637" s="17" t="s">
        <v>35</v>
      </c>
      <c r="C637" s="18" t="s">
        <v>22</v>
      </c>
      <c r="D637" s="18"/>
      <c r="E637" s="18" t="s">
        <v>34</v>
      </c>
      <c r="F637" s="18" t="s">
        <v>33</v>
      </c>
      <c r="G637" s="18" t="s">
        <v>7</v>
      </c>
      <c r="H637" s="18" t="s">
        <v>32</v>
      </c>
      <c r="I637" s="19" t="s">
        <v>22</v>
      </c>
      <c r="J637" s="17" t="s">
        <v>31</v>
      </c>
      <c r="K637" s="18"/>
      <c r="L637" s="18" t="s">
        <v>30</v>
      </c>
      <c r="M637" s="18"/>
      <c r="N637" s="18" t="s">
        <v>29</v>
      </c>
      <c r="O637" s="18"/>
      <c r="P637" s="18" t="s">
        <v>28</v>
      </c>
      <c r="Q637" s="20" t="s">
        <v>27</v>
      </c>
      <c r="R637" s="21" t="s">
        <v>26</v>
      </c>
      <c r="S637" s="22" t="s">
        <v>7</v>
      </c>
      <c r="T637" s="23" t="s">
        <v>25</v>
      </c>
      <c r="U637" s="24" t="s">
        <v>24</v>
      </c>
      <c r="V637" s="25" t="s">
        <v>7</v>
      </c>
      <c r="W637" s="26" t="s">
        <v>23</v>
      </c>
      <c r="X637" s="4" t="s">
        <v>22</v>
      </c>
      <c r="Y637" s="4" t="s">
        <v>21</v>
      </c>
      <c r="Z637" s="5" t="s">
        <v>20</v>
      </c>
    </row>
    <row r="638" spans="1:31" ht="13.5" customHeight="1">
      <c r="B638" s="54" t="s">
        <v>3</v>
      </c>
      <c r="C638" s="28" t="s">
        <v>17</v>
      </c>
      <c r="D638" s="20" t="s">
        <v>13</v>
      </c>
      <c r="E638" s="20" t="s">
        <v>19</v>
      </c>
      <c r="F638" s="28" t="s">
        <v>19</v>
      </c>
      <c r="G638" s="20" t="s">
        <v>3</v>
      </c>
      <c r="H638" s="20" t="s">
        <v>19</v>
      </c>
      <c r="I638" s="29" t="s">
        <v>12</v>
      </c>
      <c r="J638" s="55" t="s">
        <v>18</v>
      </c>
      <c r="K638" s="20" t="s">
        <v>17</v>
      </c>
      <c r="L638" s="56" t="s">
        <v>16</v>
      </c>
      <c r="M638" s="20" t="s">
        <v>15</v>
      </c>
      <c r="N638" s="20" t="s">
        <v>14</v>
      </c>
      <c r="O638" s="20" t="s">
        <v>13</v>
      </c>
      <c r="P638" s="20" t="s">
        <v>12</v>
      </c>
      <c r="Q638" s="20" t="s">
        <v>11</v>
      </c>
      <c r="R638" s="21" t="s">
        <v>11</v>
      </c>
      <c r="S638" s="22" t="s">
        <v>10</v>
      </c>
      <c r="T638" s="23" t="s">
        <v>9</v>
      </c>
      <c r="U638" s="24" t="s">
        <v>9</v>
      </c>
      <c r="V638" s="33" t="s">
        <v>8</v>
      </c>
      <c r="W638" s="34" t="s">
        <v>7</v>
      </c>
      <c r="X638" s="4" t="s">
        <v>6</v>
      </c>
      <c r="Y638" s="6" t="s">
        <v>5</v>
      </c>
      <c r="Z638" s="7" t="s">
        <v>5</v>
      </c>
    </row>
    <row r="639" spans="1:31" ht="13.5" customHeight="1" thickBot="1">
      <c r="B639" s="57"/>
      <c r="C639" s="3">
        <f>C619</f>
        <v>1.05</v>
      </c>
      <c r="D639" s="37"/>
      <c r="E639" s="38"/>
      <c r="F639" s="38"/>
      <c r="G639" s="37"/>
      <c r="H639" s="37"/>
      <c r="I639" s="39"/>
      <c r="J639" s="58" t="s">
        <v>4</v>
      </c>
      <c r="K639" s="44"/>
      <c r="L639" s="59"/>
      <c r="M639" s="37"/>
      <c r="N639" s="37"/>
      <c r="O639" s="37"/>
      <c r="P639" s="37"/>
      <c r="Q639" s="42"/>
      <c r="R639" s="42"/>
      <c r="S639" s="52" t="s">
        <v>3</v>
      </c>
      <c r="T639" s="43"/>
      <c r="U639" s="44"/>
      <c r="V639" s="39" t="s">
        <v>3</v>
      </c>
      <c r="W639" s="45" t="s">
        <v>3</v>
      </c>
      <c r="X639" s="8" t="s">
        <v>2</v>
      </c>
      <c r="Y639" s="9" t="s">
        <v>1</v>
      </c>
      <c r="Z639" s="13" t="s">
        <v>0</v>
      </c>
    </row>
    <row r="640" spans="1:31" ht="13.5" customHeight="1">
      <c r="A640" s="1">
        <v>1</v>
      </c>
      <c r="B640" s="3">
        <f t="shared" ref="B640:B649" si="933">B620</f>
        <v>1000</v>
      </c>
      <c r="C640" s="1">
        <f t="shared" ref="C640:C649" si="934">IF(B640&lt;1,0.000001,C620*(1+AB620))</f>
        <v>4.3673239014485311E-2</v>
      </c>
      <c r="D640" s="1">
        <f t="shared" si="903"/>
        <v>0.89791803445620577</v>
      </c>
      <c r="E640" s="1">
        <f t="shared" ref="E640:E649" si="935">R640</f>
        <v>73.196873094991645</v>
      </c>
      <c r="F640" s="1">
        <f t="shared" ref="F640:F649" si="936">F620</f>
        <v>20</v>
      </c>
      <c r="G640" s="1">
        <f t="shared" ref="G640:G649" si="937">(E640-F640)*C640*(1-D640)*4200</f>
        <v>996.09284773095192</v>
      </c>
      <c r="H640" s="1">
        <f t="shared" ref="H640:H649" si="938">(E640-F640)*D640+F640</f>
        <v>67.766431728671108</v>
      </c>
      <c r="I640" s="1">
        <f t="shared" ref="I640:I649" si="939">B640*0.001*6/C640</f>
        <v>137.38390225671037</v>
      </c>
      <c r="J640" s="3">
        <f t="shared" ref="J640:J649" si="940">J620</f>
        <v>10</v>
      </c>
      <c r="K640" s="47">
        <f t="shared" ref="K640:K649" si="941">K639+C640</f>
        <v>4.3673239014485311E-2</v>
      </c>
      <c r="L640" s="3">
        <f t="shared" ref="L640:L649" si="942">L620</f>
        <v>3</v>
      </c>
      <c r="M640" s="47">
        <f t="shared" ref="M640:M649" si="943">K640/(J640*J640*3.14/4000)</f>
        <v>0.55634699381509956</v>
      </c>
      <c r="N640" s="47">
        <f t="shared" ref="N640:N649" si="944">L640*26400/J640^1.27*M640^1.83*$N$69</f>
        <v>1818.1005962586009</v>
      </c>
      <c r="O640" s="1">
        <f t="shared" ref="O640:O649" si="945">EXP(-(J640+2)*3.14/1000*$O$66/(M640*J640*J640*3.14/4000*4200)*L640)</f>
        <v>0.99385630084583432</v>
      </c>
      <c r="P640" s="1">
        <f t="shared" ref="P640:P649" si="946">L640/M640</f>
        <v>5.3923181635758812</v>
      </c>
      <c r="Q640" s="1">
        <f t="shared" ref="Q640:Q649" si="947">R641</f>
        <v>73.525719009597012</v>
      </c>
      <c r="R640" s="1">
        <f t="shared" ref="R640:R649" si="948">(Q640-F640)*O640+F640</f>
        <v>73.196873094991645</v>
      </c>
      <c r="S640" s="47">
        <f t="shared" ref="S640:S649" si="949">K640*(1-O640)*4200*(Q640-F640)</f>
        <v>60.319418155489082</v>
      </c>
      <c r="T640" s="1">
        <f t="shared" ref="T640:T649" si="950">(U639*K639+H640*C640)/K640</f>
        <v>67.766431728671108</v>
      </c>
      <c r="U640" s="47">
        <f t="shared" ref="U640:U649" si="951">(T640-F640)*O640+F640</f>
        <v>67.472969142462162</v>
      </c>
      <c r="V640" s="47">
        <f t="shared" ref="V640:V649" si="952">K640*(1-O640)*4200*(T640-F640)</f>
        <v>53.829139011112304</v>
      </c>
      <c r="W640" s="2">
        <f t="shared" si="904"/>
        <v>996.10284773095191</v>
      </c>
      <c r="X640" s="1">
        <f t="shared" ref="X640:X649" si="953">C640*3600</f>
        <v>157.22366045214713</v>
      </c>
      <c r="Y640" s="1">
        <f t="shared" ref="Y640:Y649" si="954">Y641-2*N640/1000</f>
        <v>5.9999999999999964</v>
      </c>
      <c r="Z640" s="2">
        <f t="shared" ref="Z640:Z649" si="955">-1.1-1.8*LOG10(Y640/X640/X640)</f>
        <v>5.4067922009054143</v>
      </c>
      <c r="AA640" s="3">
        <f t="shared" ref="AA640:AA649" si="956">AA620</f>
        <v>1000</v>
      </c>
      <c r="AB640" s="1">
        <f t="shared" ref="AB640" si="957">((AA640/W640)-1)*AB$23+AC640+AD640</f>
        <v>3.9123994855807531E-3</v>
      </c>
      <c r="AC640" s="1">
        <f>((N652/N651)-1)*AB$24</f>
        <v>0</v>
      </c>
      <c r="AD640" s="64">
        <f t="shared" ref="AD640" si="958">(AC$21-(X640/1000/SQRT(Y640/104))*1000/B640)*AB$21</f>
        <v>0</v>
      </c>
      <c r="AE640" s="1">
        <f t="shared" ref="AE640:AE650" si="959">AE641</f>
        <v>18.372879989651032</v>
      </c>
    </row>
    <row r="641" spans="1:31" ht="13.5" customHeight="1">
      <c r="A641" s="1">
        <v>2</v>
      </c>
      <c r="B641" s="3">
        <f t="shared" si="933"/>
        <v>1000</v>
      </c>
      <c r="C641" s="1">
        <f t="shared" si="934"/>
        <v>3.849291349558534E-2</v>
      </c>
      <c r="D641" s="1">
        <f t="shared" si="903"/>
        <v>0.8847514509808071</v>
      </c>
      <c r="E641" s="1">
        <f t="shared" si="935"/>
        <v>73.525719009597012</v>
      </c>
      <c r="F641" s="1">
        <f t="shared" si="936"/>
        <v>20</v>
      </c>
      <c r="G641" s="1">
        <f t="shared" si="937"/>
        <v>997.30512382514962</v>
      </c>
      <c r="H641" s="1">
        <f t="shared" si="938"/>
        <v>67.356957558531917</v>
      </c>
      <c r="I641" s="1">
        <f t="shared" si="939"/>
        <v>155.87284658741473</v>
      </c>
      <c r="J641" s="3">
        <f t="shared" si="940"/>
        <v>14.142135623730951</v>
      </c>
      <c r="K641" s="47">
        <f t="shared" si="941"/>
        <v>8.2166152510070645E-2</v>
      </c>
      <c r="L641" s="3">
        <f t="shared" si="942"/>
        <v>3</v>
      </c>
      <c r="M641" s="47">
        <f t="shared" si="943"/>
        <v>0.52335128987306134</v>
      </c>
      <c r="N641" s="47">
        <f t="shared" si="944"/>
        <v>1046.822103933215</v>
      </c>
      <c r="O641" s="1">
        <f t="shared" si="945"/>
        <v>0.995603438038551</v>
      </c>
      <c r="P641" s="1">
        <f t="shared" si="946"/>
        <v>5.732287390994391</v>
      </c>
      <c r="Q641" s="1">
        <f t="shared" si="947"/>
        <v>73.762087357842603</v>
      </c>
      <c r="R641" s="1">
        <f t="shared" si="948"/>
        <v>73.525719009597012</v>
      </c>
      <c r="S641" s="47">
        <f t="shared" si="949"/>
        <v>81.570206552102263</v>
      </c>
      <c r="T641" s="1">
        <f t="shared" si="950"/>
        <v>67.418620438910963</v>
      </c>
      <c r="U641" s="47">
        <f t="shared" si="951"/>
        <v>67.21014153602485</v>
      </c>
      <c r="V641" s="47">
        <f t="shared" si="952"/>
        <v>71.945619184621634</v>
      </c>
      <c r="W641" s="2">
        <f t="shared" si="904"/>
        <v>997.31512382514961</v>
      </c>
      <c r="X641" s="1">
        <f t="shared" si="953"/>
        <v>138.57448858410723</v>
      </c>
      <c r="Y641" s="1">
        <f t="shared" si="954"/>
        <v>9.6362011925171984</v>
      </c>
      <c r="Z641" s="2">
        <f t="shared" si="955"/>
        <v>4.8390292779774668</v>
      </c>
      <c r="AA641" s="3">
        <f t="shared" si="956"/>
        <v>1000</v>
      </c>
      <c r="AB641" s="1">
        <f t="shared" si="873"/>
        <v>2.6921041411192004E-3</v>
      </c>
      <c r="AC641" s="1">
        <f t="shared" ref="AC641:AC649" si="960">AC640</f>
        <v>0</v>
      </c>
      <c r="AD641" s="64">
        <f t="shared" si="874"/>
        <v>0</v>
      </c>
      <c r="AE641" s="1">
        <f t="shared" si="959"/>
        <v>18.372879989651032</v>
      </c>
    </row>
    <row r="642" spans="1:31" ht="13.5" customHeight="1">
      <c r="A642" s="1">
        <v>3</v>
      </c>
      <c r="B642" s="3">
        <f t="shared" si="933"/>
        <v>1000</v>
      </c>
      <c r="C642" s="1">
        <f t="shared" si="934"/>
        <v>3.5396063914249848E-2</v>
      </c>
      <c r="D642" s="1">
        <f t="shared" si="903"/>
        <v>0.87513124496595962</v>
      </c>
      <c r="E642" s="1">
        <f t="shared" si="935"/>
        <v>73.762087357842603</v>
      </c>
      <c r="F642" s="1">
        <f t="shared" si="936"/>
        <v>20</v>
      </c>
      <c r="G642" s="1">
        <f t="shared" si="937"/>
        <v>998.00832722023517</v>
      </c>
      <c r="H642" s="1">
        <f t="shared" si="938"/>
        <v>67.048882441437485</v>
      </c>
      <c r="I642" s="1">
        <f t="shared" si="939"/>
        <v>169.5103730893791</v>
      </c>
      <c r="J642" s="3">
        <f t="shared" si="940"/>
        <v>17.320508075688775</v>
      </c>
      <c r="K642" s="47">
        <f t="shared" si="941"/>
        <v>0.11756221642432049</v>
      </c>
      <c r="L642" s="3">
        <f t="shared" si="942"/>
        <v>3</v>
      </c>
      <c r="M642" s="47">
        <f t="shared" si="943"/>
        <v>0.49920261751303802</v>
      </c>
      <c r="N642" s="47">
        <f t="shared" si="944"/>
        <v>742.18101416013633</v>
      </c>
      <c r="O642" s="1">
        <f t="shared" si="945"/>
        <v>0.99632080982694438</v>
      </c>
      <c r="P642" s="1">
        <f t="shared" si="946"/>
        <v>6.0095838738699063</v>
      </c>
      <c r="Q642" s="1">
        <f t="shared" si="947"/>
        <v>73.960618736028209</v>
      </c>
      <c r="R642" s="1">
        <f t="shared" si="948"/>
        <v>73.762087357842603</v>
      </c>
      <c r="S642" s="47">
        <f t="shared" si="949"/>
        <v>98.027113166949448</v>
      </c>
      <c r="T642" s="1">
        <f t="shared" si="950"/>
        <v>67.161589055539395</v>
      </c>
      <c r="U642" s="47">
        <f t="shared" si="951"/>
        <v>66.988072600540562</v>
      </c>
      <c r="V642" s="47">
        <f t="shared" si="952"/>
        <v>85.675711950163063</v>
      </c>
      <c r="W642" s="2">
        <f t="shared" si="904"/>
        <v>998.01832722023516</v>
      </c>
      <c r="X642" s="1">
        <f t="shared" si="953"/>
        <v>127.42583009129945</v>
      </c>
      <c r="Y642" s="1">
        <f t="shared" si="954"/>
        <v>11.729845400383629</v>
      </c>
      <c r="Z642" s="2">
        <f t="shared" si="955"/>
        <v>4.5542007783784815</v>
      </c>
      <c r="AA642" s="3">
        <f t="shared" si="956"/>
        <v>1000</v>
      </c>
      <c r="AB642" s="1">
        <f t="shared" si="873"/>
        <v>1.9856076043056614E-3</v>
      </c>
      <c r="AC642" s="1">
        <f t="shared" si="960"/>
        <v>0</v>
      </c>
      <c r="AD642" s="64">
        <f t="shared" si="874"/>
        <v>0</v>
      </c>
      <c r="AE642" s="1">
        <f t="shared" si="959"/>
        <v>18.372879989651032</v>
      </c>
    </row>
    <row r="643" spans="1:31" ht="13.5" customHeight="1">
      <c r="A643" s="1">
        <v>4</v>
      </c>
      <c r="B643" s="3">
        <f t="shared" si="933"/>
        <v>1000</v>
      </c>
      <c r="C643" s="1">
        <f t="shared" si="934"/>
        <v>3.3122612609418477E-2</v>
      </c>
      <c r="D643" s="1">
        <f t="shared" si="903"/>
        <v>0.86698503096607904</v>
      </c>
      <c r="E643" s="1">
        <f t="shared" si="935"/>
        <v>73.960618736028209</v>
      </c>
      <c r="F643" s="1">
        <f t="shared" si="936"/>
        <v>20</v>
      </c>
      <c r="G643" s="1">
        <f t="shared" si="937"/>
        <v>998.50746066994373</v>
      </c>
      <c r="H643" s="1">
        <f t="shared" si="938"/>
        <v>66.783048705804205</v>
      </c>
      <c r="I643" s="1">
        <f t="shared" si="939"/>
        <v>181.14513099410186</v>
      </c>
      <c r="J643" s="3">
        <f t="shared" si="940"/>
        <v>20</v>
      </c>
      <c r="K643" s="47">
        <f t="shared" si="941"/>
        <v>0.15068482903373898</v>
      </c>
      <c r="L643" s="3">
        <f t="shared" si="942"/>
        <v>3</v>
      </c>
      <c r="M643" s="47">
        <f t="shared" si="943"/>
        <v>0.47988799055330883</v>
      </c>
      <c r="N643" s="47">
        <f t="shared" si="944"/>
        <v>575.19232633744957</v>
      </c>
      <c r="O643" s="1">
        <f t="shared" si="945"/>
        <v>0.99673078191354114</v>
      </c>
      <c r="P643" s="1">
        <f t="shared" si="946"/>
        <v>6.2514587967517432</v>
      </c>
      <c r="Q643" s="1">
        <f t="shared" si="947"/>
        <v>74.137606377956615</v>
      </c>
      <c r="R643" s="1">
        <f t="shared" si="948"/>
        <v>73.960618736028209</v>
      </c>
      <c r="S643" s="47">
        <f t="shared" si="949"/>
        <v>112.0112807732793</v>
      </c>
      <c r="T643" s="1">
        <f t="shared" si="950"/>
        <v>66.943005508620473</v>
      </c>
      <c r="U643" s="47">
        <f t="shared" si="951"/>
        <v>66.78953858597896</v>
      </c>
      <c r="V643" s="47">
        <f t="shared" si="952"/>
        <v>97.125575402400159</v>
      </c>
      <c r="W643" s="2">
        <f t="shared" si="904"/>
        <v>998.51746066994372</v>
      </c>
      <c r="X643" s="1">
        <f t="shared" si="953"/>
        <v>119.24140539390652</v>
      </c>
      <c r="Y643" s="1">
        <f t="shared" si="954"/>
        <v>13.214207428703903</v>
      </c>
      <c r="Z643" s="2">
        <f t="shared" si="955"/>
        <v>4.3572634940643926</v>
      </c>
      <c r="AA643" s="3">
        <f t="shared" si="956"/>
        <v>1000</v>
      </c>
      <c r="AB643" s="1">
        <f t="shared" si="873"/>
        <v>1.4847405162665694E-3</v>
      </c>
      <c r="AC643" s="1">
        <f t="shared" si="960"/>
        <v>0</v>
      </c>
      <c r="AD643" s="64">
        <f t="shared" si="874"/>
        <v>0</v>
      </c>
      <c r="AE643" s="1">
        <f t="shared" si="959"/>
        <v>18.372879989651032</v>
      </c>
    </row>
    <row r="644" spans="1:31" ht="13.5" customHeight="1">
      <c r="A644" s="1">
        <v>5</v>
      </c>
      <c r="B644" s="3">
        <f t="shared" si="933"/>
        <v>1000</v>
      </c>
      <c r="C644" s="1">
        <f t="shared" si="934"/>
        <v>3.1309608207980018E-2</v>
      </c>
      <c r="D644" s="1">
        <f t="shared" si="903"/>
        <v>0.85968895672141976</v>
      </c>
      <c r="E644" s="1">
        <f t="shared" si="935"/>
        <v>74.137606377956615</v>
      </c>
      <c r="F644" s="1">
        <f t="shared" si="936"/>
        <v>20</v>
      </c>
      <c r="G644" s="1">
        <f t="shared" si="937"/>
        <v>998.89037275945645</v>
      </c>
      <c r="H644" s="1">
        <f t="shared" si="938"/>
        <v>66.541502346460405</v>
      </c>
      <c r="I644" s="1">
        <f t="shared" si="939"/>
        <v>191.63446441564713</v>
      </c>
      <c r="J644" s="3">
        <f t="shared" si="940"/>
        <v>22.360679774997898</v>
      </c>
      <c r="K644" s="47">
        <f t="shared" si="941"/>
        <v>0.18199443724171899</v>
      </c>
      <c r="L644" s="3">
        <f t="shared" si="942"/>
        <v>3</v>
      </c>
      <c r="M644" s="47">
        <f t="shared" si="943"/>
        <v>0.46368009488336037</v>
      </c>
      <c r="N644" s="47">
        <f t="shared" si="944"/>
        <v>468.77993040102581</v>
      </c>
      <c r="O644" s="1">
        <f t="shared" si="945"/>
        <v>0.99700234840371393</v>
      </c>
      <c r="P644" s="1">
        <f t="shared" si="946"/>
        <v>6.4699779721073769</v>
      </c>
      <c r="Q644" s="1">
        <f t="shared" si="947"/>
        <v>74.300379998738777</v>
      </c>
      <c r="R644" s="1">
        <f t="shared" si="948"/>
        <v>74.137606377956615</v>
      </c>
      <c r="S644" s="47">
        <f t="shared" si="949"/>
        <v>124.42035275059341</v>
      </c>
      <c r="T644" s="1">
        <f t="shared" si="950"/>
        <v>66.746867405483528</v>
      </c>
      <c r="U644" s="47">
        <f t="shared" si="951"/>
        <v>66.606736583784112</v>
      </c>
      <c r="V644" s="47">
        <f t="shared" si="952"/>
        <v>107.11272614870414</v>
      </c>
      <c r="W644" s="2">
        <f t="shared" si="904"/>
        <v>998.90037275945645</v>
      </c>
      <c r="X644" s="1">
        <f t="shared" si="953"/>
        <v>112.71458954872807</v>
      </c>
      <c r="Y644" s="1">
        <f t="shared" si="954"/>
        <v>14.364592081378802</v>
      </c>
      <c r="Z644" s="2">
        <f t="shared" si="955"/>
        <v>4.2040005462656609</v>
      </c>
      <c r="AA644" s="3">
        <f t="shared" si="956"/>
        <v>1000</v>
      </c>
      <c r="AB644" s="1">
        <f t="shared" si="873"/>
        <v>1.1008377517227608E-3</v>
      </c>
      <c r="AC644" s="1">
        <f t="shared" si="960"/>
        <v>0</v>
      </c>
      <c r="AD644" s="64">
        <f t="shared" si="874"/>
        <v>0</v>
      </c>
      <c r="AE644" s="1">
        <f t="shared" si="959"/>
        <v>18.372879989651032</v>
      </c>
    </row>
    <row r="645" spans="1:31" ht="13.5" customHeight="1">
      <c r="A645" s="1">
        <v>6</v>
      </c>
      <c r="B645" s="3">
        <f t="shared" si="933"/>
        <v>1000</v>
      </c>
      <c r="C645" s="1">
        <f t="shared" si="934"/>
        <v>2.9796639769890998E-2</v>
      </c>
      <c r="D645" s="1">
        <f t="shared" si="903"/>
        <v>0.85296139899129686</v>
      </c>
      <c r="E645" s="1">
        <f t="shared" si="935"/>
        <v>74.300379998738777</v>
      </c>
      <c r="F645" s="1">
        <f t="shared" si="936"/>
        <v>20</v>
      </c>
      <c r="G645" s="1">
        <f t="shared" si="937"/>
        <v>999.19628748303421</v>
      </c>
      <c r="H645" s="1">
        <f t="shared" si="938"/>
        <v>66.316128089483271</v>
      </c>
      <c r="I645" s="1">
        <f t="shared" si="939"/>
        <v>201.36498767431146</v>
      </c>
      <c r="J645" s="3">
        <f t="shared" si="940"/>
        <v>24.494897427831781</v>
      </c>
      <c r="K645" s="47">
        <f t="shared" si="941"/>
        <v>0.21179107701160999</v>
      </c>
      <c r="L645" s="3">
        <f t="shared" si="942"/>
        <v>3</v>
      </c>
      <c r="M645" s="47">
        <f t="shared" si="943"/>
        <v>0.44966258388876856</v>
      </c>
      <c r="N645" s="47">
        <f t="shared" si="944"/>
        <v>394.72252134268018</v>
      </c>
      <c r="O645" s="1">
        <f t="shared" si="945"/>
        <v>0.99719813589467565</v>
      </c>
      <c r="P645" s="1">
        <f t="shared" si="946"/>
        <v>6.6716691748186445</v>
      </c>
      <c r="Q645" s="1">
        <f t="shared" si="947"/>
        <v>74.452949764111878</v>
      </c>
      <c r="R645" s="1">
        <f t="shared" si="948"/>
        <v>74.300379998738777</v>
      </c>
      <c r="S645" s="47">
        <f t="shared" si="949"/>
        <v>135.71424269666096</v>
      </c>
      <c r="T645" s="1">
        <f t="shared" si="950"/>
        <v>66.565851213442102</v>
      </c>
      <c r="U645" s="47">
        <f t="shared" si="951"/>
        <v>66.43538002639329</v>
      </c>
      <c r="V645" s="47">
        <f t="shared" si="952"/>
        <v>116.05705954101968</v>
      </c>
      <c r="W645" s="2">
        <f t="shared" si="904"/>
        <v>999.2062874830342</v>
      </c>
      <c r="X645" s="1">
        <f t="shared" si="953"/>
        <v>107.2679031716076</v>
      </c>
      <c r="Y645" s="1">
        <f t="shared" si="954"/>
        <v>15.302151942180855</v>
      </c>
      <c r="Z645" s="2">
        <f t="shared" si="955"/>
        <v>4.0771367307402944</v>
      </c>
      <c r="AA645" s="3">
        <f t="shared" si="956"/>
        <v>1000</v>
      </c>
      <c r="AB645" s="1">
        <f t="shared" si="873"/>
        <v>7.9434299694525201E-4</v>
      </c>
      <c r="AC645" s="1">
        <f t="shared" si="960"/>
        <v>0</v>
      </c>
      <c r="AD645" s="64">
        <f t="shared" si="874"/>
        <v>0</v>
      </c>
      <c r="AE645" s="1">
        <f t="shared" si="959"/>
        <v>18.372879989651032</v>
      </c>
    </row>
    <row r="646" spans="1:31" ht="13.5" customHeight="1">
      <c r="A646" s="1">
        <v>7</v>
      </c>
      <c r="B646" s="3">
        <f t="shared" si="933"/>
        <v>1000</v>
      </c>
      <c r="C646" s="1">
        <f t="shared" si="934"/>
        <v>2.8497030797485931E-2</v>
      </c>
      <c r="D646" s="1">
        <f t="shared" si="903"/>
        <v>0.84664804203469313</v>
      </c>
      <c r="E646" s="1">
        <f t="shared" si="935"/>
        <v>74.452949764111878</v>
      </c>
      <c r="F646" s="1">
        <f t="shared" si="936"/>
        <v>20</v>
      </c>
      <c r="G646" s="1">
        <f t="shared" si="937"/>
        <v>999.44669990930299</v>
      </c>
      <c r="H646" s="1">
        <f t="shared" si="938"/>
        <v>66.102483300798824</v>
      </c>
      <c r="I646" s="1">
        <f t="shared" si="939"/>
        <v>210.54825124199721</v>
      </c>
      <c r="J646" s="3">
        <f t="shared" si="940"/>
        <v>26.457513110645905</v>
      </c>
      <c r="K646" s="47">
        <f t="shared" si="941"/>
        <v>0.24028810780909593</v>
      </c>
      <c r="L646" s="3">
        <f t="shared" si="942"/>
        <v>3</v>
      </c>
      <c r="M646" s="47">
        <f t="shared" si="943"/>
        <v>0.43728500056250397</v>
      </c>
      <c r="N646" s="47">
        <f t="shared" si="944"/>
        <v>340.09255272307178</v>
      </c>
      <c r="O646" s="1">
        <f t="shared" si="945"/>
        <v>0.99734729098465547</v>
      </c>
      <c r="P646" s="1">
        <f t="shared" si="946"/>
        <v>6.860514301064371</v>
      </c>
      <c r="Q646" s="1">
        <f t="shared" si="947"/>
        <v>74.597781792089577</v>
      </c>
      <c r="R646" s="1">
        <f t="shared" si="948"/>
        <v>74.452949764111878</v>
      </c>
      <c r="S646" s="47">
        <f t="shared" si="949"/>
        <v>146.16593860223503</v>
      </c>
      <c r="T646" s="1">
        <f t="shared" si="950"/>
        <v>66.395900052423116</v>
      </c>
      <c r="U646" s="47">
        <f t="shared" si="951"/>
        <v>66.272825230079036</v>
      </c>
      <c r="V646" s="47">
        <f t="shared" si="952"/>
        <v>124.20834795600524</v>
      </c>
      <c r="W646" s="2">
        <f t="shared" si="904"/>
        <v>999.45669990930298</v>
      </c>
      <c r="X646" s="1">
        <f t="shared" si="953"/>
        <v>102.58931087094935</v>
      </c>
      <c r="Y646" s="1">
        <f t="shared" si="954"/>
        <v>16.091596984866214</v>
      </c>
      <c r="Z646" s="2">
        <f t="shared" si="955"/>
        <v>3.9680891402711258</v>
      </c>
      <c r="AA646" s="3">
        <f t="shared" si="956"/>
        <v>1000</v>
      </c>
      <c r="AB646" s="1">
        <f t="shared" si="873"/>
        <v>5.4359542614124123E-4</v>
      </c>
      <c r="AC646" s="1">
        <f t="shared" si="960"/>
        <v>0</v>
      </c>
      <c r="AD646" s="64">
        <f t="shared" si="874"/>
        <v>0</v>
      </c>
      <c r="AE646" s="1">
        <f t="shared" si="959"/>
        <v>18.372879989651032</v>
      </c>
    </row>
    <row r="647" spans="1:31" ht="13.5" customHeight="1">
      <c r="A647" s="1">
        <v>8</v>
      </c>
      <c r="B647" s="3">
        <f t="shared" si="933"/>
        <v>1000</v>
      </c>
      <c r="C647" s="1">
        <f t="shared" si="934"/>
        <v>2.735800618615709E-2</v>
      </c>
      <c r="D647" s="1">
        <f t="shared" si="903"/>
        <v>0.84065392505246173</v>
      </c>
      <c r="E647" s="1">
        <f t="shared" si="935"/>
        <v>74.597781792089577</v>
      </c>
      <c r="F647" s="1">
        <f t="shared" si="936"/>
        <v>20</v>
      </c>
      <c r="G647" s="1">
        <f t="shared" si="937"/>
        <v>999.65490799210318</v>
      </c>
      <c r="H647" s="1">
        <f t="shared" si="938"/>
        <v>65.89783956267793</v>
      </c>
      <c r="I647" s="1">
        <f t="shared" si="939"/>
        <v>219.31422776839443</v>
      </c>
      <c r="J647" s="3">
        <f t="shared" si="940"/>
        <v>28.284271247461902</v>
      </c>
      <c r="K647" s="47">
        <f t="shared" si="941"/>
        <v>0.26764611399525301</v>
      </c>
      <c r="L647" s="3">
        <f t="shared" si="942"/>
        <v>3</v>
      </c>
      <c r="M647" s="47">
        <f t="shared" si="943"/>
        <v>0.42618807961027544</v>
      </c>
      <c r="N647" s="47">
        <f t="shared" si="944"/>
        <v>298.08726955906315</v>
      </c>
      <c r="O647" s="1">
        <f t="shared" si="945"/>
        <v>0.99746541513396536</v>
      </c>
      <c r="P647" s="1">
        <f t="shared" si="946"/>
        <v>7.0391457282036791</v>
      </c>
      <c r="Q647" s="1">
        <f t="shared" si="947"/>
        <v>74.736516137511174</v>
      </c>
      <c r="R647" s="1">
        <f t="shared" si="948"/>
        <v>74.597781792089577</v>
      </c>
      <c r="S647" s="47">
        <f t="shared" si="949"/>
        <v>155.95317540501492</v>
      </c>
      <c r="T647" s="1">
        <f t="shared" si="950"/>
        <v>66.23449528739711</v>
      </c>
      <c r="U647" s="47">
        <f t="shared" si="951"/>
        <v>66.117310035352915</v>
      </c>
      <c r="V647" s="47">
        <f t="shared" si="952"/>
        <v>131.72954477415939</v>
      </c>
      <c r="W647" s="2">
        <f t="shared" si="904"/>
        <v>999.66490799210317</v>
      </c>
      <c r="X647" s="1">
        <f t="shared" si="953"/>
        <v>98.488822270165528</v>
      </c>
      <c r="Y647" s="1">
        <f t="shared" si="954"/>
        <v>16.771782090312357</v>
      </c>
      <c r="Z647" s="2">
        <f t="shared" si="955"/>
        <v>3.8719504190167764</v>
      </c>
      <c r="AA647" s="3">
        <f t="shared" si="956"/>
        <v>1000</v>
      </c>
      <c r="AB647" s="1">
        <f t="shared" si="873"/>
        <v>3.3520433218958701E-4</v>
      </c>
      <c r="AC647" s="1">
        <f t="shared" si="960"/>
        <v>0</v>
      </c>
      <c r="AD647" s="64">
        <f t="shared" si="874"/>
        <v>0</v>
      </c>
      <c r="AE647" s="1">
        <f t="shared" si="959"/>
        <v>18.372879989651032</v>
      </c>
    </row>
    <row r="648" spans="1:31" ht="13.5" customHeight="1">
      <c r="A648" s="1">
        <v>9</v>
      </c>
      <c r="B648" s="3">
        <f t="shared" si="933"/>
        <v>1000</v>
      </c>
      <c r="C648" s="1">
        <f t="shared" si="934"/>
        <v>2.6344766553869796E-2</v>
      </c>
      <c r="D648" s="1">
        <f t="shared" si="903"/>
        <v>0.83491588255821081</v>
      </c>
      <c r="E648" s="1">
        <f t="shared" si="935"/>
        <v>74.736516137511174</v>
      </c>
      <c r="F648" s="1">
        <f t="shared" si="936"/>
        <v>20</v>
      </c>
      <c r="G648" s="1">
        <f t="shared" si="937"/>
        <v>999.82982875471532</v>
      </c>
      <c r="H648" s="1">
        <f t="shared" si="938"/>
        <v>65.700386679111887</v>
      </c>
      <c r="I648" s="1">
        <f t="shared" si="939"/>
        <v>227.74921871982414</v>
      </c>
      <c r="J648" s="3">
        <f t="shared" si="940"/>
        <v>30</v>
      </c>
      <c r="K648" s="47">
        <f t="shared" si="941"/>
        <v>0.29399088054912281</v>
      </c>
      <c r="L648" s="3">
        <f t="shared" si="942"/>
        <v>3</v>
      </c>
      <c r="M648" s="47">
        <f t="shared" si="943"/>
        <v>0.41612297317639463</v>
      </c>
      <c r="N648" s="47">
        <f t="shared" si="944"/>
        <v>264.76885602262729</v>
      </c>
      <c r="O648" s="1">
        <f t="shared" si="945"/>
        <v>0.99756169672403716</v>
      </c>
      <c r="P648" s="1">
        <f t="shared" si="946"/>
        <v>7.2094072987609348</v>
      </c>
      <c r="Q648" s="1">
        <f t="shared" si="947"/>
        <v>74.870306585812443</v>
      </c>
      <c r="R648" s="1">
        <f t="shared" si="948"/>
        <v>74.736516137511174</v>
      </c>
      <c r="S648" s="47">
        <f t="shared" si="949"/>
        <v>165.19932116164171</v>
      </c>
      <c r="T648" s="1">
        <f t="shared" si="950"/>
        <v>66.079949187728971</v>
      </c>
      <c r="U648" s="47">
        <f t="shared" si="951"/>
        <v>65.967592296668329</v>
      </c>
      <c r="V648" s="47">
        <f t="shared" si="952"/>
        <v>138.73398562245441</v>
      </c>
      <c r="W648" s="2">
        <f t="shared" si="904"/>
        <v>999.83982875471531</v>
      </c>
      <c r="X648" s="1">
        <f t="shared" si="953"/>
        <v>94.841159593931266</v>
      </c>
      <c r="Y648" s="1">
        <f t="shared" si="954"/>
        <v>17.367956629430484</v>
      </c>
      <c r="Z648" s="2">
        <f t="shared" si="955"/>
        <v>3.7856409724685052</v>
      </c>
      <c r="AA648" s="3">
        <f t="shared" si="956"/>
        <v>1000</v>
      </c>
      <c r="AB648" s="1">
        <f t="shared" ref="AB648:AB709" si="961">((AA648/W648)-1)*AB$23+AC648+AD648</f>
        <v>1.601969042224205E-4</v>
      </c>
      <c r="AC648" s="1">
        <f t="shared" si="960"/>
        <v>0</v>
      </c>
      <c r="AD648" s="64">
        <f t="shared" ref="AD648:AD709" si="962">(AC$21-(X648/1000/SQRT(Y648/104))*1000/B648)*AB$21</f>
        <v>0</v>
      </c>
      <c r="AE648" s="1">
        <f t="shared" si="959"/>
        <v>18.372879989651032</v>
      </c>
    </row>
    <row r="649" spans="1:31" ht="13.5" customHeight="1">
      <c r="A649" s="1">
        <v>10</v>
      </c>
      <c r="B649" s="3">
        <f t="shared" si="933"/>
        <v>1000</v>
      </c>
      <c r="C649" s="1">
        <f t="shared" si="934"/>
        <v>2.5433016013964083E-2</v>
      </c>
      <c r="D649" s="1">
        <f t="shared" si="903"/>
        <v>0.82938947693215037</v>
      </c>
      <c r="E649" s="1">
        <f t="shared" si="935"/>
        <v>74.870306585812443</v>
      </c>
      <c r="F649" s="1">
        <f t="shared" si="936"/>
        <v>20</v>
      </c>
      <c r="G649" s="1">
        <f t="shared" si="937"/>
        <v>999.97779500122022</v>
      </c>
      <c r="H649" s="1">
        <f t="shared" si="938"/>
        <v>65.508854878313713</v>
      </c>
      <c r="I649" s="1">
        <f t="shared" si="939"/>
        <v>235.91382149508655</v>
      </c>
      <c r="J649" s="3">
        <f t="shared" si="940"/>
        <v>31.622776601683793</v>
      </c>
      <c r="K649" s="47">
        <f t="shared" si="941"/>
        <v>0.3194238965630869</v>
      </c>
      <c r="L649" s="3">
        <f t="shared" si="942"/>
        <v>3</v>
      </c>
      <c r="M649" s="47">
        <f t="shared" si="943"/>
        <v>0.40690942237335909</v>
      </c>
      <c r="N649" s="47">
        <f t="shared" si="944"/>
        <v>237.69282408764684</v>
      </c>
      <c r="O649" s="1">
        <f t="shared" si="945"/>
        <v>0.99764193792386269</v>
      </c>
      <c r="P649" s="1">
        <f t="shared" si="946"/>
        <v>7.3726481498070466</v>
      </c>
      <c r="Q649" s="1">
        <f t="shared" si="947"/>
        <v>75</v>
      </c>
      <c r="R649" s="1">
        <f t="shared" si="948"/>
        <v>74.870306585812443</v>
      </c>
      <c r="S649" s="47">
        <f t="shared" si="949"/>
        <v>173.99413801710469</v>
      </c>
      <c r="T649" s="1">
        <f t="shared" si="950"/>
        <v>65.931066926360245</v>
      </c>
      <c r="U649" s="47">
        <f t="shared" si="951"/>
        <v>65.822758619324674</v>
      </c>
      <c r="V649" s="47">
        <f t="shared" si="952"/>
        <v>145.30429814650904</v>
      </c>
      <c r="W649" s="2">
        <f t="shared" si="904"/>
        <v>999.98779500122021</v>
      </c>
      <c r="X649" s="1">
        <f t="shared" si="953"/>
        <v>91.558857650270696</v>
      </c>
      <c r="Y649" s="1">
        <f t="shared" si="954"/>
        <v>17.897494341475738</v>
      </c>
      <c r="Z649" s="2">
        <f t="shared" si="955"/>
        <v>3.7070952949454967</v>
      </c>
      <c r="AA649" s="3">
        <f t="shared" si="956"/>
        <v>1000</v>
      </c>
      <c r="AB649" s="1">
        <f t="shared" si="961"/>
        <v>1.2205147743582501E-5</v>
      </c>
      <c r="AC649" s="1">
        <f t="shared" si="960"/>
        <v>0</v>
      </c>
      <c r="AD649" s="64">
        <f t="shared" si="962"/>
        <v>0</v>
      </c>
      <c r="AE649" s="1">
        <f t="shared" si="959"/>
        <v>18.372879989651032</v>
      </c>
    </row>
    <row r="650" spans="1:31" ht="13.5" customHeight="1">
      <c r="K650" s="47"/>
      <c r="L650" s="47"/>
      <c r="M650" s="47"/>
      <c r="N650" s="47">
        <f>SUM(N640:N649)</f>
        <v>6186.4399948255168</v>
      </c>
      <c r="O650" s="2" t="s">
        <v>46</v>
      </c>
      <c r="P650" s="2"/>
      <c r="Q650" s="2"/>
      <c r="R650" s="49">
        <f>R630</f>
        <v>75</v>
      </c>
      <c r="S650" s="50" t="s">
        <v>45</v>
      </c>
      <c r="T650" s="2"/>
      <c r="U650" s="11">
        <f>U649</f>
        <v>65.822758619324674</v>
      </c>
      <c r="V650" s="47"/>
      <c r="W650" s="2"/>
      <c r="Y650" s="1">
        <f>N651</f>
        <v>18.372879989651032</v>
      </c>
      <c r="AE650" s="1">
        <f t="shared" si="959"/>
        <v>18.372879989651032</v>
      </c>
    </row>
    <row r="651" spans="1:31" ht="13.5" customHeight="1">
      <c r="K651" s="47"/>
      <c r="L651" s="2" t="s">
        <v>44</v>
      </c>
      <c r="M651" s="2"/>
      <c r="N651" s="47">
        <f>N650*2/1000+Y651</f>
        <v>18.372879989651032</v>
      </c>
      <c r="O651" s="2" t="s">
        <v>1</v>
      </c>
      <c r="P651" s="1">
        <f>SUM(P640:P649)</f>
        <v>65.009010849953967</v>
      </c>
      <c r="Q651" s="1" t="s">
        <v>43</v>
      </c>
      <c r="S651" s="47"/>
      <c r="U651" s="47"/>
      <c r="V651" s="47"/>
      <c r="W651" s="2"/>
      <c r="Y651" s="3">
        <f>Y631</f>
        <v>6</v>
      </c>
      <c r="Z651" s="3" t="s">
        <v>42</v>
      </c>
      <c r="AE651" s="1">
        <f>N651</f>
        <v>18.372879989651032</v>
      </c>
    </row>
    <row r="652" spans="1:31" ht="13.5" customHeight="1">
      <c r="L652" s="60" t="s">
        <v>41</v>
      </c>
      <c r="N652" s="3">
        <f>N632</f>
        <v>15</v>
      </c>
      <c r="O652" s="1" t="s">
        <v>1</v>
      </c>
    </row>
    <row r="655" spans="1:31" ht="13.5" customHeight="1" thickBot="1"/>
    <row r="656" spans="1:31" ht="13.5" customHeight="1">
      <c r="B656" s="14" t="s">
        <v>40</v>
      </c>
      <c r="C656" s="15"/>
      <c r="D656" s="15"/>
      <c r="E656" s="15"/>
      <c r="F656" s="15"/>
      <c r="G656" s="15"/>
      <c r="H656" s="15" t="s">
        <v>39</v>
      </c>
      <c r="I656" s="16"/>
      <c r="J656" s="14" t="s">
        <v>38</v>
      </c>
      <c r="K656" s="15"/>
      <c r="L656" s="15"/>
      <c r="M656" s="15"/>
      <c r="N656" s="15" t="s">
        <v>37</v>
      </c>
      <c r="O656" s="15"/>
      <c r="P656" s="15"/>
      <c r="Q656" s="15"/>
      <c r="R656" s="15"/>
      <c r="S656" s="16"/>
      <c r="T656" s="14" t="s">
        <v>36</v>
      </c>
      <c r="U656" s="15"/>
      <c r="V656" s="16"/>
      <c r="W656" s="14"/>
      <c r="X656" s="15"/>
      <c r="Y656" s="15"/>
      <c r="Z656" s="16"/>
    </row>
    <row r="657" spans="1:31" ht="13.5" customHeight="1">
      <c r="B657" s="17" t="s">
        <v>35</v>
      </c>
      <c r="C657" s="18" t="s">
        <v>22</v>
      </c>
      <c r="D657" s="18"/>
      <c r="E657" s="18" t="s">
        <v>34</v>
      </c>
      <c r="F657" s="18" t="s">
        <v>33</v>
      </c>
      <c r="G657" s="18" t="s">
        <v>7</v>
      </c>
      <c r="H657" s="18" t="s">
        <v>32</v>
      </c>
      <c r="I657" s="19" t="s">
        <v>22</v>
      </c>
      <c r="J657" s="17" t="s">
        <v>31</v>
      </c>
      <c r="K657" s="18"/>
      <c r="L657" s="18" t="s">
        <v>30</v>
      </c>
      <c r="M657" s="18"/>
      <c r="N657" s="18" t="s">
        <v>29</v>
      </c>
      <c r="O657" s="18"/>
      <c r="P657" s="18" t="s">
        <v>28</v>
      </c>
      <c r="Q657" s="20" t="s">
        <v>27</v>
      </c>
      <c r="R657" s="21" t="s">
        <v>26</v>
      </c>
      <c r="S657" s="22" t="s">
        <v>7</v>
      </c>
      <c r="T657" s="23" t="s">
        <v>25</v>
      </c>
      <c r="U657" s="24" t="s">
        <v>24</v>
      </c>
      <c r="V657" s="25" t="s">
        <v>7</v>
      </c>
      <c r="W657" s="26" t="s">
        <v>23</v>
      </c>
      <c r="X657" s="4" t="s">
        <v>22</v>
      </c>
      <c r="Y657" s="4" t="s">
        <v>21</v>
      </c>
      <c r="Z657" s="5" t="s">
        <v>20</v>
      </c>
    </row>
    <row r="658" spans="1:31" ht="13.5" customHeight="1">
      <c r="B658" s="54" t="s">
        <v>3</v>
      </c>
      <c r="C658" s="28" t="s">
        <v>17</v>
      </c>
      <c r="D658" s="20" t="s">
        <v>13</v>
      </c>
      <c r="E658" s="20" t="s">
        <v>19</v>
      </c>
      <c r="F658" s="28" t="s">
        <v>19</v>
      </c>
      <c r="G658" s="20" t="s">
        <v>3</v>
      </c>
      <c r="H658" s="20" t="s">
        <v>19</v>
      </c>
      <c r="I658" s="29" t="s">
        <v>12</v>
      </c>
      <c r="J658" s="55" t="s">
        <v>18</v>
      </c>
      <c r="K658" s="20" t="s">
        <v>17</v>
      </c>
      <c r="L658" s="56" t="s">
        <v>16</v>
      </c>
      <c r="M658" s="20" t="s">
        <v>15</v>
      </c>
      <c r="N658" s="20" t="s">
        <v>14</v>
      </c>
      <c r="O658" s="20" t="s">
        <v>13</v>
      </c>
      <c r="P658" s="20" t="s">
        <v>12</v>
      </c>
      <c r="Q658" s="20" t="s">
        <v>11</v>
      </c>
      <c r="R658" s="21" t="s">
        <v>11</v>
      </c>
      <c r="S658" s="22" t="s">
        <v>10</v>
      </c>
      <c r="T658" s="23" t="s">
        <v>9</v>
      </c>
      <c r="U658" s="24" t="s">
        <v>9</v>
      </c>
      <c r="V658" s="33" t="s">
        <v>8</v>
      </c>
      <c r="W658" s="34" t="s">
        <v>7</v>
      </c>
      <c r="X658" s="4" t="s">
        <v>6</v>
      </c>
      <c r="Y658" s="6" t="s">
        <v>5</v>
      </c>
      <c r="Z658" s="7" t="s">
        <v>5</v>
      </c>
    </row>
    <row r="659" spans="1:31" ht="13.5" customHeight="1" thickBot="1">
      <c r="B659" s="57"/>
      <c r="C659" s="3">
        <f>C639</f>
        <v>1.05</v>
      </c>
      <c r="D659" s="37"/>
      <c r="E659" s="38"/>
      <c r="F659" s="38"/>
      <c r="G659" s="37"/>
      <c r="H659" s="37"/>
      <c r="I659" s="39"/>
      <c r="J659" s="58" t="s">
        <v>4</v>
      </c>
      <c r="K659" s="44"/>
      <c r="L659" s="59"/>
      <c r="M659" s="37"/>
      <c r="N659" s="37"/>
      <c r="O659" s="37"/>
      <c r="P659" s="37"/>
      <c r="Q659" s="42"/>
      <c r="R659" s="42"/>
      <c r="S659" s="52" t="s">
        <v>3</v>
      </c>
      <c r="T659" s="43"/>
      <c r="U659" s="44"/>
      <c r="V659" s="39" t="s">
        <v>3</v>
      </c>
      <c r="W659" s="45" t="s">
        <v>3</v>
      </c>
      <c r="X659" s="8" t="s">
        <v>2</v>
      </c>
      <c r="Y659" s="9" t="s">
        <v>1</v>
      </c>
      <c r="Z659" s="13" t="s">
        <v>0</v>
      </c>
    </row>
    <row r="660" spans="1:31" ht="13.5" customHeight="1">
      <c r="A660" s="1">
        <v>1</v>
      </c>
      <c r="B660" s="3">
        <f t="shared" ref="B660:B669" si="963">B640</f>
        <v>1000</v>
      </c>
      <c r="C660" s="1">
        <f t="shared" ref="C660:C669" si="964">IF(B660&lt;1,0.000001,C640*(1+AB640))</f>
        <v>4.3844106172339227E-2</v>
      </c>
      <c r="D660" s="1">
        <f t="shared" si="903"/>
        <v>0.89829174397242706</v>
      </c>
      <c r="E660" s="1">
        <f t="shared" ref="E660:E669" si="965">R660</f>
        <v>73.201567531860661</v>
      </c>
      <c r="F660" s="1">
        <f t="shared" ref="F660:F669" si="966">F640</f>
        <v>20</v>
      </c>
      <c r="G660" s="1">
        <f t="shared" ref="G660:G669" si="967">(E660-F660)*C660*(1-D660)*4200</f>
        <v>996.417043201963</v>
      </c>
      <c r="H660" s="1">
        <f t="shared" ref="H660:H669" si="968">(E660-F660)*D660+F660</f>
        <v>67.790528880261974</v>
      </c>
      <c r="I660" s="1">
        <f t="shared" ref="I660:I669" si="969">B660*0.001*6/C660</f>
        <v>136.84849627029996</v>
      </c>
      <c r="J660" s="3">
        <f t="shared" ref="J660:J669" si="970">J640</f>
        <v>10</v>
      </c>
      <c r="K660" s="47">
        <f t="shared" ref="K660:K669" si="971">K659+C660</f>
        <v>4.3844106172339227E-2</v>
      </c>
      <c r="L660" s="3">
        <f t="shared" ref="L660:L669" si="972">L640</f>
        <v>3</v>
      </c>
      <c r="M660" s="47">
        <f t="shared" ref="M660:M669" si="973">K660/(J660*J660*3.14/4000)</f>
        <v>0.55852364550750611</v>
      </c>
      <c r="N660" s="47">
        <f t="shared" ref="N660:N669" si="974">L660*26400/J660^1.27*M660^1.83*$N$69</f>
        <v>1831.1387652207941</v>
      </c>
      <c r="O660" s="1">
        <f t="shared" ref="O660:O669" si="975">EXP(-(J660+2)*3.14/1000*$O$66/(M660*J660*J660*3.14/4000*4200)*L660)</f>
        <v>0.99388017036339837</v>
      </c>
      <c r="P660" s="1">
        <f t="shared" ref="P660:P669" si="976">L660/M660</f>
        <v>5.3713034786092733</v>
      </c>
      <c r="Q660" s="1">
        <f t="shared" ref="Q660:Q669" si="977">R661</f>
        <v>73.529156852388212</v>
      </c>
      <c r="R660" s="1">
        <f t="shared" ref="R660:R669" si="978">(Q660-F660)*O660+F660</f>
        <v>73.201567531860661</v>
      </c>
      <c r="S660" s="47">
        <f t="shared" ref="S660:S669" si="979">K660*(1-O660)*4200*(Q660-F660)</f>
        <v>60.324015990562934</v>
      </c>
      <c r="T660" s="1">
        <f t="shared" ref="T660:T669" si="980">(U659*K659+H660*C660)/K660</f>
        <v>67.790528880261974</v>
      </c>
      <c r="U660" s="47">
        <f t="shared" ref="U660:U669" si="981">(T660-F660)*O660+F660</f>
        <v>67.498058985271683</v>
      </c>
      <c r="V660" s="47">
        <f t="shared" ref="V660:V669" si="982">K660*(1-O660)*4200*(T660-F660)</f>
        <v>53.856940738302725</v>
      </c>
      <c r="W660" s="2">
        <f t="shared" si="904"/>
        <v>996.42704320196299</v>
      </c>
      <c r="X660" s="1">
        <f t="shared" ref="X660:X669" si="983">C660*3600</f>
        <v>157.83878222042122</v>
      </c>
      <c r="Y660" s="1">
        <f t="shared" ref="Y660:Y669" si="984">Y661-2*N660/1000</f>
        <v>6.000000000000008</v>
      </c>
      <c r="Z660" s="2">
        <f t="shared" ref="Z660:Z669" si="985">-1.1-1.8*LOG10(Y660/X660/X660)</f>
        <v>5.4128971468112272</v>
      </c>
      <c r="AA660" s="3">
        <f t="shared" ref="AA660:AA669" si="986">AA640</f>
        <v>1000</v>
      </c>
      <c r="AB660" s="1">
        <f t="shared" ref="AB660" si="987">((AA660/W660)-1)*AB$23+AC660+AD660</f>
        <v>3.5857685943121442E-3</v>
      </c>
      <c r="AC660" s="1">
        <f>((N672/N671)-1)*AB$24</f>
        <v>0</v>
      </c>
      <c r="AD660" s="64">
        <f t="shared" ref="AD660" si="988">(AC$21-(X660/1000/SQRT(Y660/104))*1000/B660)*AB$21</f>
        <v>0</v>
      </c>
      <c r="AE660" s="1">
        <f t="shared" ref="AE660:AE670" si="989">AE661</f>
        <v>18.439655967432145</v>
      </c>
    </row>
    <row r="661" spans="1:31" ht="13.5" customHeight="1">
      <c r="A661" s="1">
        <v>2</v>
      </c>
      <c r="B661" s="3">
        <f t="shared" si="963"/>
        <v>1000</v>
      </c>
      <c r="C661" s="1">
        <f t="shared" si="964"/>
        <v>3.859654042741055E-2</v>
      </c>
      <c r="D661" s="1">
        <f t="shared" si="903"/>
        <v>0.88503977530366762</v>
      </c>
      <c r="E661" s="1">
        <f t="shared" si="965"/>
        <v>73.529156852388212</v>
      </c>
      <c r="F661" s="1">
        <f t="shared" si="966"/>
        <v>20</v>
      </c>
      <c r="G661" s="1">
        <f t="shared" si="967"/>
        <v>997.55230372697224</v>
      </c>
      <c r="H661" s="1">
        <f t="shared" si="968"/>
        <v>67.37543295283244</v>
      </c>
      <c r="I661" s="1">
        <f t="shared" si="969"/>
        <v>155.45434729530606</v>
      </c>
      <c r="J661" s="3">
        <f t="shared" si="970"/>
        <v>14.142135623730951</v>
      </c>
      <c r="K661" s="47">
        <f t="shared" si="971"/>
        <v>8.2440646599749784E-2</v>
      </c>
      <c r="L661" s="3">
        <f t="shared" si="972"/>
        <v>3</v>
      </c>
      <c r="M661" s="47">
        <f t="shared" si="973"/>
        <v>0.52509965987101759</v>
      </c>
      <c r="N661" s="47">
        <f t="shared" si="974"/>
        <v>1053.2307397866502</v>
      </c>
      <c r="O661" s="1">
        <f t="shared" si="975"/>
        <v>0.99561804469567605</v>
      </c>
      <c r="P661" s="1">
        <f t="shared" si="976"/>
        <v>5.7132011868697505</v>
      </c>
      <c r="Q661" s="1">
        <f t="shared" si="977"/>
        <v>73.764751590807208</v>
      </c>
      <c r="R661" s="1">
        <f t="shared" si="978"/>
        <v>73.529156852388212</v>
      </c>
      <c r="S661" s="47">
        <f t="shared" si="979"/>
        <v>81.574846797196315</v>
      </c>
      <c r="T661" s="1">
        <f t="shared" si="980"/>
        <v>67.440648705104024</v>
      </c>
      <c r="U661" s="47">
        <f t="shared" si="981"/>
        <v>67.232765902870128</v>
      </c>
      <c r="V661" s="47">
        <f t="shared" si="982"/>
        <v>71.979569059148474</v>
      </c>
      <c r="W661" s="2">
        <f t="shared" si="904"/>
        <v>997.56230372697223</v>
      </c>
      <c r="X661" s="1">
        <f t="shared" si="983"/>
        <v>138.94754553867799</v>
      </c>
      <c r="Y661" s="1">
        <f t="shared" si="984"/>
        <v>9.662277530441596</v>
      </c>
      <c r="Z661" s="2">
        <f t="shared" si="985"/>
        <v>4.8411200525640954</v>
      </c>
      <c r="AA661" s="3">
        <f t="shared" si="986"/>
        <v>1000</v>
      </c>
      <c r="AB661" s="1">
        <f t="shared" si="961"/>
        <v>2.4436531572216147E-3</v>
      </c>
      <c r="AC661" s="1">
        <f t="shared" ref="AC661:AC669" si="990">AC660</f>
        <v>0</v>
      </c>
      <c r="AD661" s="64">
        <f t="shared" si="962"/>
        <v>0</v>
      </c>
      <c r="AE661" s="1">
        <f t="shared" si="989"/>
        <v>18.439655967432145</v>
      </c>
    </row>
    <row r="662" spans="1:31" ht="13.5" customHeight="1">
      <c r="A662" s="1">
        <v>3</v>
      </c>
      <c r="B662" s="3">
        <f t="shared" si="963"/>
        <v>1000</v>
      </c>
      <c r="C662" s="1">
        <f t="shared" si="964"/>
        <v>3.5466346607920474E-2</v>
      </c>
      <c r="D662" s="1">
        <f t="shared" si="903"/>
        <v>0.87536042530971303</v>
      </c>
      <c r="E662" s="1">
        <f t="shared" si="965"/>
        <v>73.764751590807208</v>
      </c>
      <c r="F662" s="1">
        <f t="shared" si="966"/>
        <v>20</v>
      </c>
      <c r="G662" s="1">
        <f t="shared" si="967"/>
        <v>998.20409325118464</v>
      </c>
      <c r="H662" s="1">
        <f t="shared" si="968"/>
        <v>67.063535819200069</v>
      </c>
      <c r="I662" s="1">
        <f t="shared" si="969"/>
        <v>169.17445899714008</v>
      </c>
      <c r="J662" s="3">
        <f t="shared" si="970"/>
        <v>17.320508075688775</v>
      </c>
      <c r="K662" s="47">
        <f t="shared" si="971"/>
        <v>0.11790699320767026</v>
      </c>
      <c r="L662" s="3">
        <f t="shared" si="972"/>
        <v>3</v>
      </c>
      <c r="M662" s="47">
        <f t="shared" si="973"/>
        <v>0.50066663782450205</v>
      </c>
      <c r="N662" s="47">
        <f t="shared" si="974"/>
        <v>746.169052634266</v>
      </c>
      <c r="O662" s="1">
        <f t="shared" si="975"/>
        <v>0.99633154854353823</v>
      </c>
      <c r="P662" s="1">
        <f t="shared" si="976"/>
        <v>5.9920109976482712</v>
      </c>
      <c r="Q662" s="1">
        <f t="shared" si="977"/>
        <v>73.962711177219916</v>
      </c>
      <c r="R662" s="1">
        <f t="shared" si="978"/>
        <v>73.764751590807208</v>
      </c>
      <c r="S662" s="47">
        <f t="shared" si="979"/>
        <v>98.031442364332051</v>
      </c>
      <c r="T662" s="1">
        <f t="shared" si="980"/>
        <v>67.181861604145809</v>
      </c>
      <c r="U662" s="47">
        <f t="shared" si="981"/>
        <v>67.008777235225494</v>
      </c>
      <c r="V662" s="47">
        <f t="shared" si="982"/>
        <v>85.713001544690002</v>
      </c>
      <c r="W662" s="2">
        <f t="shared" si="904"/>
        <v>998.21409325118464</v>
      </c>
      <c r="X662" s="1">
        <f t="shared" si="983"/>
        <v>127.67884778851371</v>
      </c>
      <c r="Y662" s="1">
        <f t="shared" si="984"/>
        <v>11.768739010014897</v>
      </c>
      <c r="Z662" s="2">
        <f t="shared" si="985"/>
        <v>4.5547143601156055</v>
      </c>
      <c r="AA662" s="3">
        <f t="shared" si="986"/>
        <v>1000</v>
      </c>
      <c r="AB662" s="1">
        <f t="shared" si="961"/>
        <v>1.789101918004965E-3</v>
      </c>
      <c r="AC662" s="1">
        <f t="shared" si="990"/>
        <v>0</v>
      </c>
      <c r="AD662" s="64">
        <f t="shared" si="962"/>
        <v>0</v>
      </c>
      <c r="AE662" s="1">
        <f t="shared" si="989"/>
        <v>18.439655967432145</v>
      </c>
    </row>
    <row r="663" spans="1:31" ht="13.5" customHeight="1">
      <c r="A663" s="1">
        <v>4</v>
      </c>
      <c r="B663" s="3">
        <f t="shared" si="963"/>
        <v>1000</v>
      </c>
      <c r="C663" s="1">
        <f t="shared" si="964"/>
        <v>3.3171791094364279E-2</v>
      </c>
      <c r="D663" s="1">
        <f t="shared" si="903"/>
        <v>0.86716671180366833</v>
      </c>
      <c r="E663" s="1">
        <f t="shared" si="965"/>
        <v>73.962711177219916</v>
      </c>
      <c r="F663" s="1">
        <f t="shared" si="966"/>
        <v>20</v>
      </c>
      <c r="G663" s="1">
        <f t="shared" si="967"/>
        <v>998.66285506166469</v>
      </c>
      <c r="H663" s="1">
        <f t="shared" si="968"/>
        <v>66.794666811560859</v>
      </c>
      <c r="I663" s="1">
        <f t="shared" si="969"/>
        <v>180.87657621295492</v>
      </c>
      <c r="J663" s="3">
        <f t="shared" si="970"/>
        <v>20</v>
      </c>
      <c r="K663" s="47">
        <f t="shared" si="971"/>
        <v>0.15107878430203453</v>
      </c>
      <c r="L663" s="3">
        <f t="shared" si="972"/>
        <v>3</v>
      </c>
      <c r="M663" s="47">
        <f t="shared" si="973"/>
        <v>0.48114262516571504</v>
      </c>
      <c r="N663" s="47">
        <f t="shared" si="974"/>
        <v>577.94726818411527</v>
      </c>
      <c r="O663" s="1">
        <f t="shared" si="975"/>
        <v>0.99673929286119745</v>
      </c>
      <c r="P663" s="1">
        <f t="shared" si="976"/>
        <v>6.2351574005041446</v>
      </c>
      <c r="Q663" s="1">
        <f t="shared" si="977"/>
        <v>74.139243394646201</v>
      </c>
      <c r="R663" s="1">
        <f t="shared" si="978"/>
        <v>73.962711177219916</v>
      </c>
      <c r="S663" s="47">
        <f t="shared" si="979"/>
        <v>112.0151457554078</v>
      </c>
      <c r="T663" s="1">
        <f t="shared" si="980"/>
        <v>66.961765828046509</v>
      </c>
      <c r="U663" s="47">
        <f t="shared" si="981"/>
        <v>66.808637262960218</v>
      </c>
      <c r="V663" s="47">
        <f t="shared" si="982"/>
        <v>97.164805311633899</v>
      </c>
      <c r="W663" s="2">
        <f t="shared" si="904"/>
        <v>998.67285506166468</v>
      </c>
      <c r="X663" s="1">
        <f t="shared" si="983"/>
        <v>119.4184479397114</v>
      </c>
      <c r="Y663" s="1">
        <f t="shared" si="984"/>
        <v>13.261077115283429</v>
      </c>
      <c r="Z663" s="2">
        <f t="shared" si="985"/>
        <v>4.3568152797625395</v>
      </c>
      <c r="AA663" s="3">
        <f t="shared" si="986"/>
        <v>1000</v>
      </c>
      <c r="AB663" s="1">
        <f t="shared" si="961"/>
        <v>1.3289085926475597E-3</v>
      </c>
      <c r="AC663" s="1">
        <f t="shared" si="990"/>
        <v>0</v>
      </c>
      <c r="AD663" s="64">
        <f t="shared" si="962"/>
        <v>0</v>
      </c>
      <c r="AE663" s="1">
        <f t="shared" si="989"/>
        <v>18.439655967432145</v>
      </c>
    </row>
    <row r="664" spans="1:31" ht="13.5" customHeight="1">
      <c r="A664" s="1">
        <v>5</v>
      </c>
      <c r="B664" s="3">
        <f t="shared" si="963"/>
        <v>1000</v>
      </c>
      <c r="C664" s="1">
        <f t="shared" si="964"/>
        <v>3.1344075006687011E-2</v>
      </c>
      <c r="D664" s="1">
        <f t="shared" si="903"/>
        <v>0.85983041164084251</v>
      </c>
      <c r="E664" s="1">
        <f t="shared" si="965"/>
        <v>74.139243394646201</v>
      </c>
      <c r="F664" s="1">
        <f t="shared" si="966"/>
        <v>20</v>
      </c>
      <c r="G664" s="1">
        <f t="shared" si="967"/>
        <v>999.01205393516034</v>
      </c>
      <c r="H664" s="1">
        <f t="shared" si="968"/>
        <v>66.550567933942403</v>
      </c>
      <c r="I664" s="1">
        <f t="shared" si="969"/>
        <v>191.42373793834872</v>
      </c>
      <c r="J664" s="3">
        <f t="shared" si="970"/>
        <v>22.360679774997898</v>
      </c>
      <c r="K664" s="47">
        <f t="shared" si="971"/>
        <v>0.18242285930872154</v>
      </c>
      <c r="L664" s="3">
        <f t="shared" si="972"/>
        <v>3</v>
      </c>
      <c r="M664" s="47">
        <f t="shared" si="973"/>
        <v>0.4647716160731758</v>
      </c>
      <c r="N664" s="47">
        <f t="shared" si="974"/>
        <v>470.80135631321343</v>
      </c>
      <c r="O664" s="1">
        <f t="shared" si="975"/>
        <v>0.99700937788351751</v>
      </c>
      <c r="P664" s="1">
        <f t="shared" si="976"/>
        <v>6.4547831585474142</v>
      </c>
      <c r="Q664" s="1">
        <f t="shared" si="977"/>
        <v>74.301639077432412</v>
      </c>
      <c r="R664" s="1">
        <f t="shared" si="978"/>
        <v>74.139243394646201</v>
      </c>
      <c r="S664" s="47">
        <f t="shared" si="979"/>
        <v>124.42367613166775</v>
      </c>
      <c r="T664" s="1">
        <f t="shared" si="980"/>
        <v>66.764295537168209</v>
      </c>
      <c r="U664" s="47">
        <f t="shared" si="981"/>
        <v>66.624441200673033</v>
      </c>
      <c r="V664" s="47">
        <f t="shared" si="982"/>
        <v>107.15303739073316</v>
      </c>
      <c r="W664" s="2">
        <f t="shared" si="904"/>
        <v>999.02205393516033</v>
      </c>
      <c r="X664" s="1">
        <f t="shared" si="983"/>
        <v>112.83867002407324</v>
      </c>
      <c r="Y664" s="1">
        <f t="shared" si="984"/>
        <v>14.416971651651659</v>
      </c>
      <c r="Z664" s="2">
        <f t="shared" si="985"/>
        <v>4.202875371192393</v>
      </c>
      <c r="AA664" s="3">
        <f t="shared" si="986"/>
        <v>1000</v>
      </c>
      <c r="AB664" s="1">
        <f t="shared" si="961"/>
        <v>9.7890337954753548E-4</v>
      </c>
      <c r="AC664" s="1">
        <f t="shared" si="990"/>
        <v>0</v>
      </c>
      <c r="AD664" s="64">
        <f t="shared" si="962"/>
        <v>0</v>
      </c>
      <c r="AE664" s="1">
        <f t="shared" si="989"/>
        <v>18.439655967432145</v>
      </c>
    </row>
    <row r="665" spans="1:31" ht="13.5" customHeight="1">
      <c r="A665" s="1">
        <v>6</v>
      </c>
      <c r="B665" s="3">
        <f t="shared" si="963"/>
        <v>1000</v>
      </c>
      <c r="C665" s="1">
        <f t="shared" si="964"/>
        <v>2.9820308522024712E-2</v>
      </c>
      <c r="D665" s="1">
        <f t="shared" si="903"/>
        <v>0.85306789248955617</v>
      </c>
      <c r="E665" s="1">
        <f t="shared" si="965"/>
        <v>74.301639077432412</v>
      </c>
      <c r="F665" s="1">
        <f t="shared" si="966"/>
        <v>20</v>
      </c>
      <c r="G665" s="1">
        <f t="shared" si="967"/>
        <v>999.28891418732599</v>
      </c>
      <c r="H665" s="1">
        <f t="shared" si="968"/>
        <v>66.322984806513801</v>
      </c>
      <c r="I665" s="1">
        <f t="shared" si="969"/>
        <v>201.20516176311571</v>
      </c>
      <c r="J665" s="3">
        <f t="shared" si="970"/>
        <v>24.494897427831781</v>
      </c>
      <c r="K665" s="47">
        <f t="shared" si="971"/>
        <v>0.21224316783074626</v>
      </c>
      <c r="L665" s="3">
        <f t="shared" si="972"/>
        <v>3</v>
      </c>
      <c r="M665" s="47">
        <f t="shared" si="973"/>
        <v>0.45062243700795385</v>
      </c>
      <c r="N665" s="47">
        <f t="shared" si="974"/>
        <v>396.26580420338883</v>
      </c>
      <c r="O665" s="1">
        <f t="shared" si="975"/>
        <v>0.99720409568417168</v>
      </c>
      <c r="P665" s="1">
        <f t="shared" si="976"/>
        <v>6.6574581148675636</v>
      </c>
      <c r="Q665" s="1">
        <f t="shared" si="977"/>
        <v>74.453886934927397</v>
      </c>
      <c r="R665" s="1">
        <f t="shared" si="978"/>
        <v>74.301639077432412</v>
      </c>
      <c r="S665" s="47">
        <f t="shared" si="979"/>
        <v>135.7169837947599</v>
      </c>
      <c r="T665" s="1">
        <f t="shared" si="980"/>
        <v>66.582086373558241</v>
      </c>
      <c r="U665" s="47">
        <f t="shared" si="981"/>
        <v>66.451847317226111</v>
      </c>
      <c r="V665" s="47">
        <f t="shared" si="982"/>
        <v>116.09786954310718</v>
      </c>
      <c r="W665" s="2">
        <f t="shared" si="904"/>
        <v>999.29891418732598</v>
      </c>
      <c r="X665" s="1">
        <f t="shared" si="983"/>
        <v>107.35311067928896</v>
      </c>
      <c r="Y665" s="1">
        <f t="shared" si="984"/>
        <v>15.358574364278086</v>
      </c>
      <c r="Z665" s="2">
        <f t="shared" si="985"/>
        <v>4.0755010505392928</v>
      </c>
      <c r="AA665" s="3">
        <f t="shared" si="986"/>
        <v>1000</v>
      </c>
      <c r="AB665" s="1">
        <f t="shared" si="961"/>
        <v>7.0157767883105571E-4</v>
      </c>
      <c r="AC665" s="1">
        <f t="shared" si="990"/>
        <v>0</v>
      </c>
      <c r="AD665" s="64">
        <f t="shared" si="962"/>
        <v>0</v>
      </c>
      <c r="AE665" s="1">
        <f t="shared" si="989"/>
        <v>18.439655967432145</v>
      </c>
    </row>
    <row r="666" spans="1:31" ht="13.5" customHeight="1">
      <c r="A666" s="1">
        <v>7</v>
      </c>
      <c r="B666" s="3">
        <f t="shared" si="963"/>
        <v>1000</v>
      </c>
      <c r="C666" s="1">
        <f t="shared" si="964"/>
        <v>2.851252165308605E-2</v>
      </c>
      <c r="D666" s="1">
        <f t="shared" si="903"/>
        <v>0.84672370347750925</v>
      </c>
      <c r="E666" s="1">
        <f t="shared" si="965"/>
        <v>74.453886934927397</v>
      </c>
      <c r="F666" s="1">
        <f t="shared" si="966"/>
        <v>20</v>
      </c>
      <c r="G666" s="1">
        <f t="shared" si="967"/>
        <v>999.51381722648455</v>
      </c>
      <c r="H666" s="1">
        <f t="shared" si="968"/>
        <v>66.107396814287284</v>
      </c>
      <c r="I666" s="1">
        <f t="shared" si="969"/>
        <v>210.43386035800137</v>
      </c>
      <c r="J666" s="3">
        <f t="shared" si="970"/>
        <v>26.457513110645905</v>
      </c>
      <c r="K666" s="47">
        <f t="shared" si="971"/>
        <v>0.2407556894838323</v>
      </c>
      <c r="L666" s="3">
        <f t="shared" si="972"/>
        <v>3</v>
      </c>
      <c r="M666" s="47">
        <f t="shared" si="973"/>
        <v>0.43813592262753831</v>
      </c>
      <c r="N666" s="47">
        <f t="shared" si="974"/>
        <v>341.3046122619449</v>
      </c>
      <c r="O666" s="1">
        <f t="shared" si="975"/>
        <v>0.99735243609549606</v>
      </c>
      <c r="P666" s="1">
        <f t="shared" si="976"/>
        <v>6.8471902098525623</v>
      </c>
      <c r="Q666" s="1">
        <f t="shared" si="977"/>
        <v>74.598439793366552</v>
      </c>
      <c r="R666" s="1">
        <f t="shared" si="978"/>
        <v>74.453886934927397</v>
      </c>
      <c r="S666" s="47">
        <f t="shared" si="979"/>
        <v>146.16807702157931</v>
      </c>
      <c r="T666" s="1">
        <f t="shared" si="980"/>
        <v>66.411054294039346</v>
      </c>
      <c r="U666" s="47">
        <f t="shared" si="981"/>
        <v>66.288178061920476</v>
      </c>
      <c r="V666" s="47">
        <f t="shared" si="982"/>
        <v>124.24923833680764</v>
      </c>
      <c r="W666" s="2">
        <f t="shared" si="904"/>
        <v>999.52381722648454</v>
      </c>
      <c r="X666" s="1">
        <f t="shared" si="983"/>
        <v>102.64507795110978</v>
      </c>
      <c r="Y666" s="1">
        <f t="shared" si="984"/>
        <v>16.151105972684864</v>
      </c>
      <c r="Z666" s="2">
        <f t="shared" si="985"/>
        <v>3.9660531838722544</v>
      </c>
      <c r="AA666" s="3">
        <f t="shared" si="986"/>
        <v>1000</v>
      </c>
      <c r="AB666" s="1">
        <f t="shared" si="961"/>
        <v>4.7640963157524752E-4</v>
      </c>
      <c r="AC666" s="1">
        <f t="shared" si="990"/>
        <v>0</v>
      </c>
      <c r="AD666" s="64">
        <f t="shared" si="962"/>
        <v>0</v>
      </c>
      <c r="AE666" s="1">
        <f t="shared" si="989"/>
        <v>18.439655967432145</v>
      </c>
    </row>
    <row r="667" spans="1:31" ht="13.5" customHeight="1">
      <c r="A667" s="1">
        <v>8</v>
      </c>
      <c r="B667" s="3">
        <f t="shared" si="963"/>
        <v>1000</v>
      </c>
      <c r="C667" s="1">
        <f t="shared" si="964"/>
        <v>2.736717670835076E-2</v>
      </c>
      <c r="D667" s="1">
        <f t="shared" si="903"/>
        <v>0.84070215695850037</v>
      </c>
      <c r="E667" s="1">
        <f t="shared" si="965"/>
        <v>74.598439793366552</v>
      </c>
      <c r="F667" s="1">
        <f t="shared" si="966"/>
        <v>20</v>
      </c>
      <c r="G667" s="1">
        <f t="shared" si="967"/>
        <v>999.69936120042678</v>
      </c>
      <c r="H667" s="1">
        <f t="shared" si="968"/>
        <v>65.901026100852079</v>
      </c>
      <c r="I667" s="1">
        <f t="shared" si="969"/>
        <v>219.24073732345116</v>
      </c>
      <c r="J667" s="3">
        <f t="shared" si="970"/>
        <v>28.284271247461902</v>
      </c>
      <c r="K667" s="47">
        <f t="shared" si="971"/>
        <v>0.26812286619218306</v>
      </c>
      <c r="L667" s="3">
        <f t="shared" si="972"/>
        <v>3</v>
      </c>
      <c r="M667" s="47">
        <f t="shared" si="973"/>
        <v>0.42694723915952709</v>
      </c>
      <c r="N667" s="47">
        <f t="shared" si="974"/>
        <v>299.05967453447153</v>
      </c>
      <c r="O667" s="1">
        <f t="shared" si="975"/>
        <v>0.99746991620092418</v>
      </c>
      <c r="P667" s="1">
        <f t="shared" si="976"/>
        <v>7.0266293462997718</v>
      </c>
      <c r="Q667" s="1">
        <f t="shared" si="977"/>
        <v>74.736928810160308</v>
      </c>
      <c r="R667" s="1">
        <f t="shared" si="978"/>
        <v>74.598439793366552</v>
      </c>
      <c r="S667" s="47">
        <f t="shared" si="979"/>
        <v>155.95470289928963</v>
      </c>
      <c r="T667" s="1">
        <f t="shared" si="980"/>
        <v>66.248661640654305</v>
      </c>
      <c r="U667" s="47">
        <f t="shared" si="981"/>
        <v>66.13164865110835</v>
      </c>
      <c r="V667" s="47">
        <f t="shared" si="982"/>
        <v>131.77020418286946</v>
      </c>
      <c r="W667" s="2">
        <f t="shared" si="904"/>
        <v>999.70936120042677</v>
      </c>
      <c r="X667" s="1">
        <f t="shared" si="983"/>
        <v>98.52183615006274</v>
      </c>
      <c r="Y667" s="1">
        <f t="shared" si="984"/>
        <v>16.833715197208754</v>
      </c>
      <c r="Z667" s="2">
        <f t="shared" si="985"/>
        <v>3.8695930344072056</v>
      </c>
      <c r="AA667" s="3">
        <f t="shared" si="986"/>
        <v>1000</v>
      </c>
      <c r="AB667" s="1">
        <f t="shared" si="961"/>
        <v>2.9072329504264971E-4</v>
      </c>
      <c r="AC667" s="1">
        <f t="shared" si="990"/>
        <v>0</v>
      </c>
      <c r="AD667" s="64">
        <f t="shared" si="962"/>
        <v>0</v>
      </c>
      <c r="AE667" s="1">
        <f t="shared" si="989"/>
        <v>18.439655967432145</v>
      </c>
    </row>
    <row r="668" spans="1:31" ht="13.5" customHeight="1">
      <c r="A668" s="1">
        <v>9</v>
      </c>
      <c r="B668" s="3">
        <f t="shared" si="963"/>
        <v>1000</v>
      </c>
      <c r="C668" s="1">
        <f t="shared" si="964"/>
        <v>2.6348986903914188E-2</v>
      </c>
      <c r="D668" s="1">
        <f t="shared" ref="D668:D729" si="991">EXP((1+(E668-F668-55)/55*$B$18)*B668/C668/-210000)</f>
        <v>0.8349395807332276</v>
      </c>
      <c r="E668" s="1">
        <f t="shared" si="965"/>
        <v>74.736928810160308</v>
      </c>
      <c r="F668" s="1">
        <f t="shared" si="966"/>
        <v>20</v>
      </c>
      <c r="G668" s="1">
        <f t="shared" si="967"/>
        <v>999.85398581299171</v>
      </c>
      <c r="H668" s="1">
        <f t="shared" si="968"/>
        <v>65.70202839137977</v>
      </c>
      <c r="I668" s="1">
        <f t="shared" si="969"/>
        <v>227.71273984384916</v>
      </c>
      <c r="J668" s="3">
        <f t="shared" si="970"/>
        <v>30</v>
      </c>
      <c r="K668" s="47">
        <f t="shared" si="971"/>
        <v>0.29447185309609725</v>
      </c>
      <c r="L668" s="3">
        <f t="shared" si="972"/>
        <v>3</v>
      </c>
      <c r="M668" s="47">
        <f t="shared" si="973"/>
        <v>0.41680375526694585</v>
      </c>
      <c r="N668" s="47">
        <f t="shared" si="974"/>
        <v>265.56208606251494</v>
      </c>
      <c r="O668" s="1">
        <f t="shared" si="975"/>
        <v>0.99756567445001632</v>
      </c>
      <c r="P668" s="1">
        <f t="shared" si="976"/>
        <v>7.1976318881259171</v>
      </c>
      <c r="Q668" s="1">
        <f t="shared" si="977"/>
        <v>74.870501473838488</v>
      </c>
      <c r="R668" s="1">
        <f t="shared" si="978"/>
        <v>74.736928810160308</v>
      </c>
      <c r="S668" s="47">
        <f t="shared" si="979"/>
        <v>165.20023714444383</v>
      </c>
      <c r="T668" s="1">
        <f t="shared" si="980"/>
        <v>66.093206747482512</v>
      </c>
      <c r="U668" s="47">
        <f t="shared" si="981"/>
        <v>65.981000876616434</v>
      </c>
      <c r="V668" s="47">
        <f t="shared" si="982"/>
        <v>138.77417703321942</v>
      </c>
      <c r="W668" s="2">
        <f t="shared" ref="W668:W729" si="992">G668+(S668+V668)*$AB$22+0.01</f>
        <v>999.8639858129917</v>
      </c>
      <c r="X668" s="1">
        <f t="shared" si="983"/>
        <v>94.856352854091071</v>
      </c>
      <c r="Y668" s="1">
        <f t="shared" si="984"/>
        <v>17.431834546277695</v>
      </c>
      <c r="Z668" s="2">
        <f t="shared" si="985"/>
        <v>3.783021549286214</v>
      </c>
      <c r="AA668" s="3">
        <f t="shared" si="986"/>
        <v>1000</v>
      </c>
      <c r="AB668" s="1">
        <f t="shared" si="961"/>
        <v>1.3603268938400248E-4</v>
      </c>
      <c r="AC668" s="1">
        <f t="shared" si="990"/>
        <v>0</v>
      </c>
      <c r="AD668" s="64">
        <f t="shared" si="962"/>
        <v>0</v>
      </c>
      <c r="AE668" s="1">
        <f t="shared" si="989"/>
        <v>18.439655967432145</v>
      </c>
    </row>
    <row r="669" spans="1:31" ht="13.5" customHeight="1">
      <c r="A669" s="1">
        <v>10</v>
      </c>
      <c r="B669" s="3">
        <f t="shared" si="963"/>
        <v>1000</v>
      </c>
      <c r="C669" s="1">
        <f t="shared" si="964"/>
        <v>2.5433326427682097E-2</v>
      </c>
      <c r="D669" s="1">
        <f t="shared" si="991"/>
        <v>0.8293911614462518</v>
      </c>
      <c r="E669" s="1">
        <f t="shared" si="965"/>
        <v>74.870501473838488</v>
      </c>
      <c r="F669" s="1">
        <f t="shared" si="966"/>
        <v>20</v>
      </c>
      <c r="G669" s="1">
        <f t="shared" si="967"/>
        <v>999.98367825225819</v>
      </c>
      <c r="H669" s="1">
        <f t="shared" si="968"/>
        <v>65.509108946525174</v>
      </c>
      <c r="I669" s="1">
        <f t="shared" si="969"/>
        <v>235.91094216718307</v>
      </c>
      <c r="J669" s="3">
        <f t="shared" si="970"/>
        <v>31.622776601683793</v>
      </c>
      <c r="K669" s="47">
        <f t="shared" si="971"/>
        <v>0.31990517952377934</v>
      </c>
      <c r="L669" s="3">
        <f t="shared" si="972"/>
        <v>3</v>
      </c>
      <c r="M669" s="47">
        <f t="shared" si="973"/>
        <v>0.40752252168634306</v>
      </c>
      <c r="N669" s="47">
        <f t="shared" si="974"/>
        <v>238.3486245147111</v>
      </c>
      <c r="O669" s="1">
        <f t="shared" si="975"/>
        <v>0.99764548134251796</v>
      </c>
      <c r="P669" s="1">
        <f t="shared" si="976"/>
        <v>7.3615563321160522</v>
      </c>
      <c r="Q669" s="1">
        <f t="shared" si="977"/>
        <v>75</v>
      </c>
      <c r="R669" s="1">
        <f t="shared" si="978"/>
        <v>74.870501473838488</v>
      </c>
      <c r="S669" s="47">
        <f t="shared" si="979"/>
        <v>173.99444689100633</v>
      </c>
      <c r="T669" s="1">
        <f t="shared" si="980"/>
        <v>65.943484192721328</v>
      </c>
      <c r="U669" s="47">
        <f t="shared" si="981"/>
        <v>65.835309401999837</v>
      </c>
      <c r="V669" s="47">
        <f t="shared" si="982"/>
        <v>145.34383855196799</v>
      </c>
      <c r="W669" s="2">
        <f t="shared" si="992"/>
        <v>999.99367825225818</v>
      </c>
      <c r="X669" s="1">
        <f t="shared" si="983"/>
        <v>91.559975139655549</v>
      </c>
      <c r="Y669" s="1">
        <f t="shared" si="984"/>
        <v>17.962958718402724</v>
      </c>
      <c r="Z669" s="2">
        <f t="shared" si="985"/>
        <v>3.7042602286198361</v>
      </c>
      <c r="AA669" s="3">
        <f t="shared" si="986"/>
        <v>1000</v>
      </c>
      <c r="AB669" s="1">
        <f t="shared" si="961"/>
        <v>6.3217877066534811E-6</v>
      </c>
      <c r="AC669" s="1">
        <f t="shared" si="990"/>
        <v>0</v>
      </c>
      <c r="AD669" s="64">
        <f t="shared" si="962"/>
        <v>0</v>
      </c>
      <c r="AE669" s="1">
        <f t="shared" si="989"/>
        <v>18.439655967432145</v>
      </c>
    </row>
    <row r="670" spans="1:31" ht="13.5" customHeight="1">
      <c r="K670" s="47"/>
      <c r="L670" s="47"/>
      <c r="M670" s="47"/>
      <c r="N670" s="47">
        <f>SUM(N660:N669)</f>
        <v>6219.8279837160717</v>
      </c>
      <c r="O670" s="2" t="s">
        <v>46</v>
      </c>
      <c r="P670" s="2"/>
      <c r="Q670" s="2"/>
      <c r="R670" s="49">
        <f>R650</f>
        <v>75</v>
      </c>
      <c r="S670" s="50" t="s">
        <v>45</v>
      </c>
      <c r="T670" s="2"/>
      <c r="U670" s="11">
        <f>U669</f>
        <v>65.835309401999837</v>
      </c>
      <c r="V670" s="47"/>
      <c r="W670" s="2"/>
      <c r="Y670" s="1">
        <f>N671</f>
        <v>18.439655967432145</v>
      </c>
      <c r="AE670" s="1">
        <f t="shared" si="989"/>
        <v>18.439655967432145</v>
      </c>
    </row>
    <row r="671" spans="1:31" ht="13.5" customHeight="1">
      <c r="K671" s="47"/>
      <c r="L671" s="2" t="s">
        <v>44</v>
      </c>
      <c r="M671" s="2"/>
      <c r="N671" s="47">
        <f>N670*2/1000+Y671</f>
        <v>18.439655967432145</v>
      </c>
      <c r="O671" s="2" t="s">
        <v>1</v>
      </c>
      <c r="P671" s="1">
        <f>SUM(P660:P669)</f>
        <v>64.856922113440731</v>
      </c>
      <c r="Q671" s="1" t="s">
        <v>43</v>
      </c>
      <c r="S671" s="47"/>
      <c r="U671" s="47"/>
      <c r="V671" s="47"/>
      <c r="W671" s="2"/>
      <c r="Y671" s="3">
        <f>Y651</f>
        <v>6</v>
      </c>
      <c r="Z671" s="3" t="s">
        <v>42</v>
      </c>
      <c r="AE671" s="1">
        <f>N671</f>
        <v>18.439655967432145</v>
      </c>
    </row>
    <row r="672" spans="1:31" ht="13.5" customHeight="1">
      <c r="L672" s="60" t="s">
        <v>41</v>
      </c>
      <c r="N672" s="3">
        <f>N652</f>
        <v>15</v>
      </c>
      <c r="O672" s="1" t="s">
        <v>1</v>
      </c>
    </row>
    <row r="675" spans="1:31" ht="13.5" customHeight="1" thickBot="1"/>
    <row r="676" spans="1:31" ht="13.5" customHeight="1">
      <c r="B676" s="14" t="s">
        <v>40</v>
      </c>
      <c r="C676" s="15"/>
      <c r="D676" s="15"/>
      <c r="E676" s="15"/>
      <c r="F676" s="15"/>
      <c r="G676" s="15"/>
      <c r="H676" s="15" t="s">
        <v>39</v>
      </c>
      <c r="I676" s="16"/>
      <c r="J676" s="14" t="s">
        <v>38</v>
      </c>
      <c r="K676" s="15"/>
      <c r="L676" s="15"/>
      <c r="M676" s="15"/>
      <c r="N676" s="15" t="s">
        <v>37</v>
      </c>
      <c r="O676" s="15"/>
      <c r="P676" s="15"/>
      <c r="Q676" s="15"/>
      <c r="R676" s="15"/>
      <c r="S676" s="16"/>
      <c r="T676" s="14" t="s">
        <v>36</v>
      </c>
      <c r="U676" s="15"/>
      <c r="V676" s="16"/>
      <c r="W676" s="14"/>
      <c r="X676" s="15"/>
      <c r="Y676" s="15"/>
      <c r="Z676" s="16"/>
    </row>
    <row r="677" spans="1:31" ht="13.5" customHeight="1">
      <c r="B677" s="17" t="s">
        <v>35</v>
      </c>
      <c r="C677" s="18" t="s">
        <v>22</v>
      </c>
      <c r="D677" s="18"/>
      <c r="E677" s="18" t="s">
        <v>34</v>
      </c>
      <c r="F677" s="18" t="s">
        <v>33</v>
      </c>
      <c r="G677" s="18" t="s">
        <v>7</v>
      </c>
      <c r="H677" s="18" t="s">
        <v>32</v>
      </c>
      <c r="I677" s="19" t="s">
        <v>22</v>
      </c>
      <c r="J677" s="17" t="s">
        <v>31</v>
      </c>
      <c r="K677" s="18"/>
      <c r="L677" s="18" t="s">
        <v>30</v>
      </c>
      <c r="M677" s="18"/>
      <c r="N677" s="18" t="s">
        <v>29</v>
      </c>
      <c r="O677" s="18"/>
      <c r="P677" s="18" t="s">
        <v>28</v>
      </c>
      <c r="Q677" s="20" t="s">
        <v>27</v>
      </c>
      <c r="R677" s="21" t="s">
        <v>26</v>
      </c>
      <c r="S677" s="22" t="s">
        <v>7</v>
      </c>
      <c r="T677" s="23" t="s">
        <v>25</v>
      </c>
      <c r="U677" s="24" t="s">
        <v>24</v>
      </c>
      <c r="V677" s="25" t="s">
        <v>7</v>
      </c>
      <c r="W677" s="26" t="s">
        <v>23</v>
      </c>
      <c r="X677" s="4" t="s">
        <v>22</v>
      </c>
      <c r="Y677" s="4" t="s">
        <v>21</v>
      </c>
      <c r="Z677" s="5" t="s">
        <v>20</v>
      </c>
    </row>
    <row r="678" spans="1:31" ht="13.5" customHeight="1">
      <c r="B678" s="54" t="s">
        <v>3</v>
      </c>
      <c r="C678" s="28" t="s">
        <v>17</v>
      </c>
      <c r="D678" s="20" t="s">
        <v>13</v>
      </c>
      <c r="E678" s="20" t="s">
        <v>19</v>
      </c>
      <c r="F678" s="28" t="s">
        <v>19</v>
      </c>
      <c r="G678" s="20" t="s">
        <v>3</v>
      </c>
      <c r="H678" s="20" t="s">
        <v>19</v>
      </c>
      <c r="I678" s="29" t="s">
        <v>12</v>
      </c>
      <c r="J678" s="55" t="s">
        <v>18</v>
      </c>
      <c r="K678" s="20" t="s">
        <v>17</v>
      </c>
      <c r="L678" s="56" t="s">
        <v>16</v>
      </c>
      <c r="M678" s="20" t="s">
        <v>15</v>
      </c>
      <c r="N678" s="20" t="s">
        <v>14</v>
      </c>
      <c r="O678" s="20" t="s">
        <v>13</v>
      </c>
      <c r="P678" s="20" t="s">
        <v>12</v>
      </c>
      <c r="Q678" s="20" t="s">
        <v>11</v>
      </c>
      <c r="R678" s="21" t="s">
        <v>11</v>
      </c>
      <c r="S678" s="22" t="s">
        <v>10</v>
      </c>
      <c r="T678" s="23" t="s">
        <v>9</v>
      </c>
      <c r="U678" s="24" t="s">
        <v>9</v>
      </c>
      <c r="V678" s="33" t="s">
        <v>8</v>
      </c>
      <c r="W678" s="34" t="s">
        <v>7</v>
      </c>
      <c r="X678" s="4" t="s">
        <v>6</v>
      </c>
      <c r="Y678" s="6" t="s">
        <v>5</v>
      </c>
      <c r="Z678" s="7" t="s">
        <v>5</v>
      </c>
    </row>
    <row r="679" spans="1:31" ht="13.5" customHeight="1" thickBot="1">
      <c r="B679" s="57"/>
      <c r="C679" s="3">
        <f>C659</f>
        <v>1.05</v>
      </c>
      <c r="D679" s="37"/>
      <c r="E679" s="38"/>
      <c r="F679" s="38"/>
      <c r="G679" s="37"/>
      <c r="H679" s="37"/>
      <c r="I679" s="39"/>
      <c r="J679" s="58" t="s">
        <v>4</v>
      </c>
      <c r="K679" s="44"/>
      <c r="L679" s="59"/>
      <c r="M679" s="37"/>
      <c r="N679" s="37"/>
      <c r="O679" s="37"/>
      <c r="P679" s="37"/>
      <c r="Q679" s="42"/>
      <c r="R679" s="42"/>
      <c r="S679" s="52" t="s">
        <v>3</v>
      </c>
      <c r="T679" s="43"/>
      <c r="U679" s="44"/>
      <c r="V679" s="39" t="s">
        <v>3</v>
      </c>
      <c r="W679" s="45" t="s">
        <v>3</v>
      </c>
      <c r="X679" s="8" t="s">
        <v>2</v>
      </c>
      <c r="Y679" s="9" t="s">
        <v>1</v>
      </c>
      <c r="Z679" s="13" t="s">
        <v>0</v>
      </c>
    </row>
    <row r="680" spans="1:31" ht="13.5" customHeight="1">
      <c r="A680" s="1">
        <v>1</v>
      </c>
      <c r="B680" s="3">
        <f t="shared" ref="B680:B689" si="993">B660</f>
        <v>1000</v>
      </c>
      <c r="C680" s="1">
        <f t="shared" ref="C680:C689" si="994">IF(B680&lt;1,0.000001,C660*(1+AB660))</f>
        <v>4.4001320991297686E-2</v>
      </c>
      <c r="D680" s="1">
        <f t="shared" si="991"/>
        <v>0.89863320234730437</v>
      </c>
      <c r="E680" s="1">
        <f t="shared" ref="E680:E689" si="995">R680</f>
        <v>73.205832863940614</v>
      </c>
      <c r="F680" s="1">
        <f t="shared" ref="F680:F689" si="996">F660</f>
        <v>20</v>
      </c>
      <c r="G680" s="1">
        <f t="shared" ref="G680:G689" si="997">(E680-F680)*C680*(1-D680)*4200</f>
        <v>996.71266732282493</v>
      </c>
      <c r="H680" s="1">
        <f t="shared" ref="H680:H689" si="998">(E680-F680)*D680+F680</f>
        <v>67.812527970078406</v>
      </c>
      <c r="I680" s="1">
        <f t="shared" ref="I680:I689" si="999">B680*0.001*6/C680</f>
        <v>136.35954250524986</v>
      </c>
      <c r="J680" s="3">
        <f t="shared" ref="J680:J689" si="1000">J660</f>
        <v>10</v>
      </c>
      <c r="K680" s="47">
        <f t="shared" ref="K680:K689" si="1001">K679+C680</f>
        <v>4.4001320991297686E-2</v>
      </c>
      <c r="L680" s="3">
        <f t="shared" ref="L680:L689" si="1002">L660</f>
        <v>3</v>
      </c>
      <c r="M680" s="47">
        <f t="shared" ref="M680:M689" si="1003">K680/(J680*J680*3.14/4000)</f>
        <v>0.56052638205474759</v>
      </c>
      <c r="N680" s="47">
        <f t="shared" ref="N680:N689" si="1004">L680*26400/J680^1.27*M680^1.83*$N$69</f>
        <v>1843.1724952830316</v>
      </c>
      <c r="O680" s="1">
        <f t="shared" ref="O680:O689" si="1005">EXP(-(J680+2)*3.14/1000*$O$66/(M680*J680*J680*3.14/4000*4200)*L680)</f>
        <v>0.99390196944470233</v>
      </c>
      <c r="P680" s="1">
        <f t="shared" ref="P680:P689" si="1006">L680/M680</f>
        <v>5.3521120433310569</v>
      </c>
      <c r="Q680" s="1">
        <f t="shared" ref="Q680:Q689" si="1007">R681</f>
        <v>73.532274308367619</v>
      </c>
      <c r="R680" s="1">
        <f t="shared" ref="R680:R689" si="1008">(Q680-F680)*O680+F680</f>
        <v>73.205832863940614</v>
      </c>
      <c r="S680" s="47">
        <f t="shared" ref="S680:S689" si="1009">K680*(1-O680)*4200*(Q680-F680)</f>
        <v>60.328190080600663</v>
      </c>
      <c r="T680" s="1">
        <f t="shared" ref="T680:T689" si="1010">(U679*K679+H680*C680)/K680</f>
        <v>67.812527970078406</v>
      </c>
      <c r="U680" s="47">
        <f t="shared" ref="U680:U689" si="1011">(T680-F680)*O680+F680</f>
        <v>67.52096571359084</v>
      </c>
      <c r="V680" s="47">
        <f t="shared" ref="V680:V689" si="1012">K680*(1-O680)*4200*(T680-F680)</f>
        <v>53.882322633956527</v>
      </c>
      <c r="W680" s="2">
        <f t="shared" si="992"/>
        <v>996.72266732282492</v>
      </c>
      <c r="X680" s="1">
        <f t="shared" ref="X680:X689" si="1013">C680*3600</f>
        <v>158.40475556867167</v>
      </c>
      <c r="Y680" s="1">
        <f t="shared" ref="Y680:Y689" si="1014">Y681-2*N680/1000</f>
        <v>6</v>
      </c>
      <c r="Z680" s="2">
        <f t="shared" ref="Z680:Z689" si="1015">-1.1-1.8*LOG10(Y680/X680/X680)</f>
        <v>5.4184933257453594</v>
      </c>
      <c r="AA680" s="3">
        <f t="shared" ref="AA680:AA689" si="1016">AA660</f>
        <v>1000</v>
      </c>
      <c r="AB680" s="1">
        <f t="shared" ref="AB680" si="1017">((AA680/W680)-1)*AB$23+AC680+AD680</f>
        <v>3.2881089039320521E-3</v>
      </c>
      <c r="AC680" s="1">
        <f>((N692/N691)-1)*AB$24</f>
        <v>0</v>
      </c>
      <c r="AD680" s="64">
        <f t="shared" ref="AD680" si="1018">(AC$21-(X680/1000/SQRT(Y680/104))*1000/B680)*AB$21</f>
        <v>0</v>
      </c>
      <c r="AE680" s="1">
        <f t="shared" ref="AE680:AE690" si="1019">AE681</f>
        <v>18.500926284126972</v>
      </c>
    </row>
    <row r="681" spans="1:31" ht="13.5" customHeight="1">
      <c r="A681" s="1">
        <v>2</v>
      </c>
      <c r="B681" s="3">
        <f t="shared" si="993"/>
        <v>1000</v>
      </c>
      <c r="C681" s="1">
        <f t="shared" si="994"/>
        <v>3.8690856985283822E-2</v>
      </c>
      <c r="D681" s="1">
        <f t="shared" si="991"/>
        <v>0.88530094227350653</v>
      </c>
      <c r="E681" s="1">
        <f t="shared" si="995"/>
        <v>73.532274308367619</v>
      </c>
      <c r="F681" s="1">
        <f t="shared" si="996"/>
        <v>20</v>
      </c>
      <c r="G681" s="1">
        <f t="shared" si="997"/>
        <v>997.77630103167121</v>
      </c>
      <c r="H681" s="1">
        <f t="shared" si="998"/>
        <v>67.392172887241685</v>
      </c>
      <c r="I681" s="1">
        <f t="shared" si="999"/>
        <v>155.07539681227834</v>
      </c>
      <c r="J681" s="3">
        <f t="shared" si="1000"/>
        <v>14.142135623730951</v>
      </c>
      <c r="K681" s="47">
        <f t="shared" si="1001"/>
        <v>8.2692177976581516E-2</v>
      </c>
      <c r="L681" s="3">
        <f t="shared" si="1002"/>
        <v>3</v>
      </c>
      <c r="M681" s="47">
        <f t="shared" si="1003"/>
        <v>0.52670177055147449</v>
      </c>
      <c r="N681" s="47">
        <f t="shared" si="1004"/>
        <v>1059.1188353646392</v>
      </c>
      <c r="O681" s="1">
        <f t="shared" si="1005"/>
        <v>0.99563134448042501</v>
      </c>
      <c r="P681" s="1">
        <f t="shared" si="1006"/>
        <v>5.6958228882710973</v>
      </c>
      <c r="Q681" s="1">
        <f t="shared" si="1007"/>
        <v>73.76716452845676</v>
      </c>
      <c r="R681" s="1">
        <f t="shared" si="1008"/>
        <v>73.532274308367619</v>
      </c>
      <c r="S681" s="47">
        <f t="shared" si="1009"/>
        <v>81.579052315191987</v>
      </c>
      <c r="T681" s="1">
        <f t="shared" si="1010"/>
        <v>67.460704816527297</v>
      </c>
      <c r="U681" s="47">
        <f t="shared" si="1011"/>
        <v>67.25336534646766</v>
      </c>
      <c r="V681" s="47">
        <f t="shared" si="1012"/>
        <v>72.010479910916246</v>
      </c>
      <c r="W681" s="2">
        <f t="shared" si="992"/>
        <v>997.7863010316712</v>
      </c>
      <c r="X681" s="1">
        <f t="shared" si="1013"/>
        <v>139.28708514702177</v>
      </c>
      <c r="Y681" s="1">
        <f t="shared" si="1014"/>
        <v>9.686344990566063</v>
      </c>
      <c r="Z681" s="2">
        <f t="shared" si="1015"/>
        <v>4.8429911808789807</v>
      </c>
      <c r="AA681" s="3">
        <f t="shared" si="1016"/>
        <v>1000</v>
      </c>
      <c r="AB681" s="1">
        <f t="shared" si="961"/>
        <v>2.2186103036692106E-3</v>
      </c>
      <c r="AC681" s="1">
        <f t="shared" ref="AC681:AC689" si="1020">AC680</f>
        <v>0</v>
      </c>
      <c r="AD681" s="64">
        <f t="shared" si="962"/>
        <v>0</v>
      </c>
      <c r="AE681" s="1">
        <f t="shared" si="1019"/>
        <v>18.500926284126972</v>
      </c>
    </row>
    <row r="682" spans="1:31" ht="13.5" customHeight="1">
      <c r="A682" s="1">
        <v>3</v>
      </c>
      <c r="B682" s="3">
        <f t="shared" si="993"/>
        <v>1000</v>
      </c>
      <c r="C682" s="1">
        <f t="shared" si="994"/>
        <v>3.5529799516661333E-2</v>
      </c>
      <c r="D682" s="1">
        <f t="shared" si="991"/>
        <v>0.87556660113009244</v>
      </c>
      <c r="E682" s="1">
        <f t="shared" si="995"/>
        <v>73.76716452845676</v>
      </c>
      <c r="F682" s="1">
        <f t="shared" si="996"/>
        <v>20</v>
      </c>
      <c r="G682" s="1">
        <f t="shared" si="997"/>
        <v>998.38062732009882</v>
      </c>
      <c r="H682" s="1">
        <f t="shared" si="998"/>
        <v>67.076733498583351</v>
      </c>
      <c r="I682" s="1">
        <f t="shared" si="999"/>
        <v>168.8723291890899</v>
      </c>
      <c r="J682" s="3">
        <f t="shared" si="1000"/>
        <v>17.320508075688775</v>
      </c>
      <c r="K682" s="47">
        <f t="shared" si="1001"/>
        <v>0.11822197749324284</v>
      </c>
      <c r="L682" s="3">
        <f t="shared" si="1002"/>
        <v>3</v>
      </c>
      <c r="M682" s="47">
        <f t="shared" si="1003"/>
        <v>0.50200415071440685</v>
      </c>
      <c r="N682" s="47">
        <f t="shared" si="1004"/>
        <v>749.82095190508653</v>
      </c>
      <c r="O682" s="1">
        <f t="shared" si="1005"/>
        <v>0.99634130466655302</v>
      </c>
      <c r="P682" s="1">
        <f t="shared" si="1006"/>
        <v>5.9760462054560142</v>
      </c>
      <c r="Q682" s="1">
        <f t="shared" si="1007"/>
        <v>73.964604575388051</v>
      </c>
      <c r="R682" s="1">
        <f t="shared" si="1008"/>
        <v>73.76716452845676</v>
      </c>
      <c r="S682" s="47">
        <f t="shared" si="1009"/>
        <v>98.035361695215229</v>
      </c>
      <c r="T682" s="1">
        <f t="shared" si="1010"/>
        <v>67.200281357545663</v>
      </c>
      <c r="U682" s="47">
        <f t="shared" si="1011"/>
        <v>67.027589908405417</v>
      </c>
      <c r="V682" s="47">
        <f t="shared" si="1012"/>
        <v>85.74688337683682</v>
      </c>
      <c r="W682" s="2">
        <f t="shared" si="992"/>
        <v>998.39062732009882</v>
      </c>
      <c r="X682" s="1">
        <f t="shared" si="1013"/>
        <v>127.9072782599808</v>
      </c>
      <c r="Y682" s="1">
        <f t="shared" si="1014"/>
        <v>11.804582661295342</v>
      </c>
      <c r="Z682" s="2">
        <f t="shared" si="1015"/>
        <v>4.5551317798571986</v>
      </c>
      <c r="AA682" s="3">
        <f t="shared" si="1016"/>
        <v>1000</v>
      </c>
      <c r="AB682" s="1">
        <f t="shared" si="961"/>
        <v>1.6119669354479615E-3</v>
      </c>
      <c r="AC682" s="1">
        <f t="shared" si="1020"/>
        <v>0</v>
      </c>
      <c r="AD682" s="64">
        <f t="shared" si="962"/>
        <v>0</v>
      </c>
      <c r="AE682" s="1">
        <f t="shared" si="1019"/>
        <v>18.500926284126972</v>
      </c>
    </row>
    <row r="683" spans="1:31" ht="13.5" customHeight="1">
      <c r="A683" s="1">
        <v>4</v>
      </c>
      <c r="B683" s="3">
        <f t="shared" si="993"/>
        <v>1000</v>
      </c>
      <c r="C683" s="1">
        <f t="shared" si="994"/>
        <v>3.3215873372583089E-2</v>
      </c>
      <c r="D683" s="1">
        <f t="shared" si="991"/>
        <v>0.86732912533998541</v>
      </c>
      <c r="E683" s="1">
        <f t="shared" si="995"/>
        <v>73.964604575388051</v>
      </c>
      <c r="F683" s="1">
        <f t="shared" si="996"/>
        <v>20</v>
      </c>
      <c r="G683" s="1">
        <f t="shared" si="997"/>
        <v>998.80235584782997</v>
      </c>
      <c r="H683" s="1">
        <f t="shared" si="998"/>
        <v>66.805073285689502</v>
      </c>
      <c r="I683" s="1">
        <f t="shared" si="999"/>
        <v>180.63652678037047</v>
      </c>
      <c r="J683" s="3">
        <f t="shared" si="1000"/>
        <v>20</v>
      </c>
      <c r="K683" s="47">
        <f t="shared" si="1001"/>
        <v>0.15143785086582592</v>
      </c>
      <c r="L683" s="3">
        <f t="shared" si="1002"/>
        <v>3</v>
      </c>
      <c r="M683" s="47">
        <f t="shared" si="1003"/>
        <v>0.4822861492542227</v>
      </c>
      <c r="N683" s="47">
        <f t="shared" si="1004"/>
        <v>580.46343178462917</v>
      </c>
      <c r="O683" s="1">
        <f t="shared" si="1005"/>
        <v>0.99674701156899259</v>
      </c>
      <c r="P683" s="1">
        <f t="shared" si="1006"/>
        <v>6.2203735368287338</v>
      </c>
      <c r="Q683" s="1">
        <f t="shared" si="1007"/>
        <v>74.140723723306337</v>
      </c>
      <c r="R683" s="1">
        <f t="shared" si="1008"/>
        <v>73.964604575388051</v>
      </c>
      <c r="S683" s="47">
        <f t="shared" si="1009"/>
        <v>112.01864207967471</v>
      </c>
      <c r="T683" s="1">
        <f t="shared" si="1010"/>
        <v>66.978783854164902</v>
      </c>
      <c r="U683" s="47">
        <f t="shared" si="1011"/>
        <v>66.825962413784509</v>
      </c>
      <c r="V683" s="47">
        <f t="shared" si="1012"/>
        <v>97.200392089193926</v>
      </c>
      <c r="W683" s="2">
        <f t="shared" si="992"/>
        <v>998.81235584782996</v>
      </c>
      <c r="X683" s="1">
        <f t="shared" si="1013"/>
        <v>119.57714414129912</v>
      </c>
      <c r="Y683" s="1">
        <f t="shared" si="1014"/>
        <v>13.304224565105516</v>
      </c>
      <c r="Z683" s="2">
        <f t="shared" si="1015"/>
        <v>4.3563522167636535</v>
      </c>
      <c r="AA683" s="3">
        <f t="shared" si="1016"/>
        <v>1000</v>
      </c>
      <c r="AB683" s="1">
        <f t="shared" si="961"/>
        <v>1.1890563279646216E-3</v>
      </c>
      <c r="AC683" s="1">
        <f t="shared" si="1020"/>
        <v>0</v>
      </c>
      <c r="AD683" s="64">
        <f t="shared" si="962"/>
        <v>0</v>
      </c>
      <c r="AE683" s="1">
        <f t="shared" si="1019"/>
        <v>18.500926284126972</v>
      </c>
    </row>
    <row r="684" spans="1:31" ht="13.5" customHeight="1">
      <c r="A684" s="1">
        <v>5</v>
      </c>
      <c r="B684" s="3">
        <f t="shared" si="993"/>
        <v>1000</v>
      </c>
      <c r="C684" s="1">
        <f t="shared" si="994"/>
        <v>3.1374757827639849E-2</v>
      </c>
      <c r="D684" s="1">
        <f t="shared" si="991"/>
        <v>0.8599560740349067</v>
      </c>
      <c r="E684" s="1">
        <f t="shared" si="995"/>
        <v>74.140723723306337</v>
      </c>
      <c r="F684" s="1">
        <f t="shared" si="996"/>
        <v>20</v>
      </c>
      <c r="G684" s="1">
        <f t="shared" si="997"/>
        <v>999.12081483108079</v>
      </c>
      <c r="H684" s="1">
        <f t="shared" si="998"/>
        <v>66.558644218503048</v>
      </c>
      <c r="I684" s="1">
        <f t="shared" si="999"/>
        <v>191.23653584711499</v>
      </c>
      <c r="J684" s="3">
        <f t="shared" si="1000"/>
        <v>22.360679774997898</v>
      </c>
      <c r="K684" s="47">
        <f t="shared" si="1001"/>
        <v>0.18281260869346577</v>
      </c>
      <c r="L684" s="3">
        <f t="shared" si="1002"/>
        <v>3</v>
      </c>
      <c r="M684" s="47">
        <f t="shared" si="1003"/>
        <v>0.46576460813621845</v>
      </c>
      <c r="N684" s="47">
        <f t="shared" si="1004"/>
        <v>472.64373892688013</v>
      </c>
      <c r="O684" s="1">
        <f t="shared" si="1005"/>
        <v>0.99701574425063899</v>
      </c>
      <c r="P684" s="1">
        <f t="shared" si="1006"/>
        <v>6.4410218114353031</v>
      </c>
      <c r="Q684" s="1">
        <f t="shared" si="1007"/>
        <v>74.302777098067509</v>
      </c>
      <c r="R684" s="1">
        <f t="shared" si="1008"/>
        <v>74.140723723306337</v>
      </c>
      <c r="S684" s="47">
        <f t="shared" si="1009"/>
        <v>124.4266807882168</v>
      </c>
      <c r="T684" s="1">
        <f t="shared" si="1010"/>
        <v>66.780084595510274</v>
      </c>
      <c r="U684" s="47">
        <f t="shared" si="1011"/>
        <v>66.640480859100535</v>
      </c>
      <c r="V684" s="47">
        <f t="shared" si="1012"/>
        <v>107.18955759296659</v>
      </c>
      <c r="W684" s="2">
        <f t="shared" si="992"/>
        <v>999.13081483108078</v>
      </c>
      <c r="X684" s="1">
        <f t="shared" si="1013"/>
        <v>112.94912817950346</v>
      </c>
      <c r="Y684" s="1">
        <f t="shared" si="1014"/>
        <v>14.465151428674774</v>
      </c>
      <c r="Z684" s="2">
        <f t="shared" si="1015"/>
        <v>4.2017970071209039</v>
      </c>
      <c r="AA684" s="3">
        <f t="shared" si="1016"/>
        <v>1000</v>
      </c>
      <c r="AB684" s="1">
        <f t="shared" si="961"/>
        <v>8.6994130900275302E-4</v>
      </c>
      <c r="AC684" s="1">
        <f t="shared" si="1020"/>
        <v>0</v>
      </c>
      <c r="AD684" s="64">
        <f t="shared" si="962"/>
        <v>0</v>
      </c>
      <c r="AE684" s="1">
        <f t="shared" si="1019"/>
        <v>18.500926284126972</v>
      </c>
    </row>
    <row r="685" spans="1:31" ht="13.5" customHeight="1">
      <c r="A685" s="1">
        <v>6</v>
      </c>
      <c r="B685" s="3">
        <f t="shared" si="993"/>
        <v>1000</v>
      </c>
      <c r="C685" s="1">
        <f t="shared" si="994"/>
        <v>2.9841229784859619E-2</v>
      </c>
      <c r="D685" s="1">
        <f t="shared" si="991"/>
        <v>0.85316187091389184</v>
      </c>
      <c r="E685" s="1">
        <f t="shared" si="995"/>
        <v>74.302777098067509</v>
      </c>
      <c r="F685" s="1">
        <f t="shared" si="996"/>
        <v>20</v>
      </c>
      <c r="G685" s="1">
        <f t="shared" si="997"/>
        <v>999.37133874813117</v>
      </c>
      <c r="H685" s="1">
        <f t="shared" si="998"/>
        <v>66.329058904807312</v>
      </c>
      <c r="I685" s="1">
        <f t="shared" si="999"/>
        <v>201.06409967876684</v>
      </c>
      <c r="J685" s="3">
        <f t="shared" si="1000"/>
        <v>24.494897427831781</v>
      </c>
      <c r="K685" s="47">
        <f t="shared" si="1001"/>
        <v>0.21265383847832539</v>
      </c>
      <c r="L685" s="3">
        <f t="shared" si="1002"/>
        <v>3</v>
      </c>
      <c r="M685" s="47">
        <f t="shared" si="1003"/>
        <v>0.45149434921088194</v>
      </c>
      <c r="N685" s="47">
        <f t="shared" si="1004"/>
        <v>397.67005986811978</v>
      </c>
      <c r="O685" s="1">
        <f t="shared" si="1005"/>
        <v>0.99720948750932314</v>
      </c>
      <c r="P685" s="1">
        <f t="shared" si="1006"/>
        <v>6.6446014335359349</v>
      </c>
      <c r="Q685" s="1">
        <f t="shared" si="1007"/>
        <v>74.454733712669196</v>
      </c>
      <c r="R685" s="1">
        <f t="shared" si="1008"/>
        <v>74.302777098067509</v>
      </c>
      <c r="S685" s="47">
        <f t="shared" si="1009"/>
        <v>135.7194609843238</v>
      </c>
      <c r="T685" s="1">
        <f t="shared" si="1010"/>
        <v>66.596779724126378</v>
      </c>
      <c r="U685" s="47">
        <f t="shared" si="1011"/>
        <v>66.46675082828088</v>
      </c>
      <c r="V685" s="47">
        <f t="shared" si="1012"/>
        <v>116.13480402149807</v>
      </c>
      <c r="W685" s="2">
        <f t="shared" si="992"/>
        <v>999.38133874813116</v>
      </c>
      <c r="X685" s="1">
        <f t="shared" si="1013"/>
        <v>107.42842722549463</v>
      </c>
      <c r="Y685" s="1">
        <f t="shared" si="1014"/>
        <v>15.410438906528535</v>
      </c>
      <c r="Z685" s="2">
        <f t="shared" si="1015"/>
        <v>4.0739621688633267</v>
      </c>
      <c r="AA685" s="3">
        <f t="shared" si="1016"/>
        <v>1000</v>
      </c>
      <c r="AB685" s="1">
        <f t="shared" si="961"/>
        <v>6.1904423054737201E-4</v>
      </c>
      <c r="AC685" s="1">
        <f t="shared" si="1020"/>
        <v>0</v>
      </c>
      <c r="AD685" s="64">
        <f t="shared" si="962"/>
        <v>0</v>
      </c>
      <c r="AE685" s="1">
        <f t="shared" si="1019"/>
        <v>18.500926284126972</v>
      </c>
    </row>
    <row r="686" spans="1:31" ht="13.5" customHeight="1">
      <c r="A686" s="1">
        <v>7</v>
      </c>
      <c r="B686" s="3">
        <f t="shared" si="993"/>
        <v>1000</v>
      </c>
      <c r="C686" s="1">
        <f t="shared" si="994"/>
        <v>2.8526105293022078E-2</v>
      </c>
      <c r="D686" s="1">
        <f t="shared" si="991"/>
        <v>0.84678996310141352</v>
      </c>
      <c r="E686" s="1">
        <f t="shared" si="995"/>
        <v>74.454733712669196</v>
      </c>
      <c r="F686" s="1">
        <f t="shared" si="996"/>
        <v>20</v>
      </c>
      <c r="G686" s="1">
        <f t="shared" si="997"/>
        <v>999.57325426228147</v>
      </c>
      <c r="H686" s="1">
        <f t="shared" si="998"/>
        <v>66.111721951248455</v>
      </c>
      <c r="I686" s="1">
        <f t="shared" si="999"/>
        <v>210.33365537873451</v>
      </c>
      <c r="J686" s="3">
        <f t="shared" si="1000"/>
        <v>26.457513110645905</v>
      </c>
      <c r="K686" s="47">
        <f t="shared" si="1001"/>
        <v>0.24117994377134747</v>
      </c>
      <c r="L686" s="3">
        <f t="shared" si="1002"/>
        <v>3</v>
      </c>
      <c r="M686" s="47">
        <f t="shared" si="1003"/>
        <v>0.43890799594421742</v>
      </c>
      <c r="N686" s="47">
        <f t="shared" si="1004"/>
        <v>342.40605108763447</v>
      </c>
      <c r="O686" s="1">
        <f t="shared" si="1005"/>
        <v>0.9973570872065991</v>
      </c>
      <c r="P686" s="1">
        <f t="shared" si="1006"/>
        <v>6.8351454694876006</v>
      </c>
      <c r="Q686" s="1">
        <f t="shared" si="1007"/>
        <v>74.599034198660178</v>
      </c>
      <c r="R686" s="1">
        <f t="shared" si="1008"/>
        <v>74.454733712669196</v>
      </c>
      <c r="S686" s="47">
        <f t="shared" si="1009"/>
        <v>146.17000900941923</v>
      </c>
      <c r="T686" s="1">
        <f t="shared" si="1010"/>
        <v>66.424758981985846</v>
      </c>
      <c r="U686" s="47">
        <f t="shared" si="1011"/>
        <v>66.302062392541799</v>
      </c>
      <c r="V686" s="47">
        <f t="shared" si="1012"/>
        <v>124.2862174808123</v>
      </c>
      <c r="W686" s="2">
        <f t="shared" si="992"/>
        <v>999.58325426228146</v>
      </c>
      <c r="X686" s="1">
        <f t="shared" si="1013"/>
        <v>102.69397905487948</v>
      </c>
      <c r="Y686" s="1">
        <f t="shared" si="1014"/>
        <v>16.205779026264775</v>
      </c>
      <c r="Z686" s="2">
        <f t="shared" si="1015"/>
        <v>3.9641560909850324</v>
      </c>
      <c r="AA686" s="3">
        <f t="shared" si="1016"/>
        <v>1000</v>
      </c>
      <c r="AB686" s="1">
        <f t="shared" si="961"/>
        <v>4.1691948713773463E-4</v>
      </c>
      <c r="AC686" s="1">
        <f t="shared" si="1020"/>
        <v>0</v>
      </c>
      <c r="AD686" s="64">
        <f t="shared" si="962"/>
        <v>0</v>
      </c>
      <c r="AE686" s="1">
        <f t="shared" si="1019"/>
        <v>18.500926284126972</v>
      </c>
    </row>
    <row r="687" spans="1:31" ht="13.5" customHeight="1">
      <c r="A687" s="1">
        <v>8</v>
      </c>
      <c r="B687" s="3">
        <f t="shared" si="993"/>
        <v>1000</v>
      </c>
      <c r="C687" s="1">
        <f t="shared" si="994"/>
        <v>2.7375132984139426E-2</v>
      </c>
      <c r="D687" s="1">
        <f t="shared" si="991"/>
        <v>0.84074395488178832</v>
      </c>
      <c r="E687" s="1">
        <f t="shared" si="995"/>
        <v>74.599034198660178</v>
      </c>
      <c r="F687" s="1">
        <f t="shared" si="996"/>
        <v>20</v>
      </c>
      <c r="G687" s="1">
        <f t="shared" si="997"/>
        <v>999.73849509936406</v>
      </c>
      <c r="H687" s="1">
        <f t="shared" si="998"/>
        <v>65.90380794490757</v>
      </c>
      <c r="I687" s="1">
        <f t="shared" si="999"/>
        <v>219.17701745873794</v>
      </c>
      <c r="J687" s="3">
        <f t="shared" si="1000"/>
        <v>28.284271247461902</v>
      </c>
      <c r="K687" s="47">
        <f t="shared" si="1001"/>
        <v>0.2685550767554869</v>
      </c>
      <c r="L687" s="3">
        <f t="shared" si="1002"/>
        <v>3</v>
      </c>
      <c r="M687" s="47">
        <f t="shared" si="1003"/>
        <v>0.42763547254058415</v>
      </c>
      <c r="N687" s="47">
        <f t="shared" si="1004"/>
        <v>299.94247159419979</v>
      </c>
      <c r="O687" s="1">
        <f t="shared" si="1005"/>
        <v>0.99747398295198131</v>
      </c>
      <c r="P687" s="1">
        <f t="shared" si="1006"/>
        <v>7.0153207407631255</v>
      </c>
      <c r="Q687" s="1">
        <f t="shared" si="1007"/>
        <v>74.737301555552051</v>
      </c>
      <c r="R687" s="1">
        <f t="shared" si="1008"/>
        <v>74.599034198660178</v>
      </c>
      <c r="S687" s="47">
        <f t="shared" si="1009"/>
        <v>155.9560827000665</v>
      </c>
      <c r="T687" s="1">
        <f t="shared" si="1010"/>
        <v>66.261466368079226</v>
      </c>
      <c r="U687" s="47">
        <f t="shared" si="1011"/>
        <v>66.144609115367118</v>
      </c>
      <c r="V687" s="47">
        <f t="shared" si="1012"/>
        <v>131.80695558045298</v>
      </c>
      <c r="W687" s="2">
        <f t="shared" si="992"/>
        <v>999.74849509936405</v>
      </c>
      <c r="X687" s="1">
        <f t="shared" si="1013"/>
        <v>98.55047874290193</v>
      </c>
      <c r="Y687" s="1">
        <f t="shared" si="1014"/>
        <v>16.890591128440043</v>
      </c>
      <c r="Z687" s="2">
        <f t="shared" si="1015"/>
        <v>3.8674107297768008</v>
      </c>
      <c r="AA687" s="3">
        <f t="shared" si="1016"/>
        <v>1000</v>
      </c>
      <c r="AB687" s="1">
        <f t="shared" si="961"/>
        <v>2.5156817126381625E-4</v>
      </c>
      <c r="AC687" s="1">
        <f t="shared" si="1020"/>
        <v>0</v>
      </c>
      <c r="AD687" s="64">
        <f t="shared" si="962"/>
        <v>0</v>
      </c>
      <c r="AE687" s="1">
        <f t="shared" si="1019"/>
        <v>18.500926284126972</v>
      </c>
    </row>
    <row r="688" spans="1:31" ht="13.5" customHeight="1">
      <c r="A688" s="1">
        <v>9</v>
      </c>
      <c r="B688" s="3">
        <f t="shared" si="993"/>
        <v>1000</v>
      </c>
      <c r="C688" s="1">
        <f t="shared" si="994"/>
        <v>2.6352571227465271E-2</v>
      </c>
      <c r="D688" s="1">
        <f t="shared" si="991"/>
        <v>0.83495967884063116</v>
      </c>
      <c r="E688" s="1">
        <f t="shared" si="995"/>
        <v>74.737301555552051</v>
      </c>
      <c r="F688" s="1">
        <f t="shared" si="996"/>
        <v>20</v>
      </c>
      <c r="G688" s="1">
        <f t="shared" si="997"/>
        <v>999.8750465959821</v>
      </c>
      <c r="H688" s="1">
        <f t="shared" si="998"/>
        <v>65.703439727426513</v>
      </c>
      <c r="I688" s="1">
        <f t="shared" si="999"/>
        <v>227.68176768066786</v>
      </c>
      <c r="J688" s="3">
        <f t="shared" si="1000"/>
        <v>30</v>
      </c>
      <c r="K688" s="47">
        <f t="shared" si="1001"/>
        <v>0.29490764798295216</v>
      </c>
      <c r="L688" s="3">
        <f t="shared" si="1002"/>
        <v>3</v>
      </c>
      <c r="M688" s="47">
        <f t="shared" si="1003"/>
        <v>0.4174205916248438</v>
      </c>
      <c r="N688" s="47">
        <f t="shared" si="1004"/>
        <v>266.28173738424823</v>
      </c>
      <c r="O688" s="1">
        <f t="shared" si="1005"/>
        <v>0.99756926735866613</v>
      </c>
      <c r="P688" s="1">
        <f t="shared" si="1006"/>
        <v>7.1869957069493253</v>
      </c>
      <c r="Q688" s="1">
        <f t="shared" si="1007"/>
        <v>74.870677502409251</v>
      </c>
      <c r="R688" s="1">
        <f t="shared" si="1008"/>
        <v>74.737301555552051</v>
      </c>
      <c r="S688" s="47">
        <f t="shared" si="1009"/>
        <v>165.20106449766786</v>
      </c>
      <c r="T688" s="1">
        <f t="shared" si="1010"/>
        <v>66.105186781634515</v>
      </c>
      <c r="U688" s="47">
        <f t="shared" si="1011"/>
        <v>65.9931173991896</v>
      </c>
      <c r="V688" s="47">
        <f t="shared" si="1012"/>
        <v>138.81049554847209</v>
      </c>
      <c r="W688" s="2">
        <f t="shared" si="992"/>
        <v>999.88504659598209</v>
      </c>
      <c r="X688" s="1">
        <f t="shared" si="1013"/>
        <v>94.869256418874969</v>
      </c>
      <c r="Y688" s="1">
        <f t="shared" si="1014"/>
        <v>17.490476071628443</v>
      </c>
      <c r="Z688" s="2">
        <f t="shared" si="1015"/>
        <v>3.7806088526170041</v>
      </c>
      <c r="AA688" s="3">
        <f t="shared" si="1016"/>
        <v>1000</v>
      </c>
      <c r="AB688" s="1">
        <f t="shared" si="961"/>
        <v>1.1496661982213219E-4</v>
      </c>
      <c r="AC688" s="1">
        <f t="shared" si="1020"/>
        <v>0</v>
      </c>
      <c r="AD688" s="64">
        <f t="shared" si="962"/>
        <v>0</v>
      </c>
      <c r="AE688" s="1">
        <f t="shared" si="1019"/>
        <v>18.500926284126972</v>
      </c>
    </row>
    <row r="689" spans="1:31" ht="13.5" customHeight="1">
      <c r="A689" s="1">
        <v>10</v>
      </c>
      <c r="B689" s="3">
        <f t="shared" si="993"/>
        <v>1000</v>
      </c>
      <c r="C689" s="1">
        <f t="shared" si="994"/>
        <v>2.5433487211772448E-2</v>
      </c>
      <c r="D689" s="1">
        <f t="shared" si="991"/>
        <v>0.82939195339845029</v>
      </c>
      <c r="E689" s="1">
        <f t="shared" si="995"/>
        <v>74.870677502409251</v>
      </c>
      <c r="F689" s="1">
        <f t="shared" si="996"/>
        <v>20</v>
      </c>
      <c r="G689" s="1">
        <f t="shared" si="997"/>
        <v>999.98856609140068</v>
      </c>
      <c r="H689" s="1">
        <f t="shared" si="998"/>
        <v>65.50929839801961</v>
      </c>
      <c r="I689" s="1">
        <f t="shared" si="999"/>
        <v>235.90945079771711</v>
      </c>
      <c r="J689" s="3">
        <f t="shared" si="1000"/>
        <v>31.622776601683793</v>
      </c>
      <c r="K689" s="47">
        <f t="shared" si="1001"/>
        <v>0.32034113519472462</v>
      </c>
      <c r="L689" s="3">
        <f t="shared" si="1002"/>
        <v>3</v>
      </c>
      <c r="M689" s="47">
        <f t="shared" si="1003"/>
        <v>0.40807787922894856</v>
      </c>
      <c r="N689" s="47">
        <f t="shared" si="1004"/>
        <v>238.94336886501662</v>
      </c>
      <c r="O689" s="1">
        <f t="shared" si="1005"/>
        <v>0.9976486818619863</v>
      </c>
      <c r="P689" s="1">
        <f t="shared" si="1006"/>
        <v>7.3515379115094746</v>
      </c>
      <c r="Q689" s="1">
        <f t="shared" si="1007"/>
        <v>75</v>
      </c>
      <c r="R689" s="1">
        <f t="shared" si="1008"/>
        <v>74.870677502409251</v>
      </c>
      <c r="S689" s="47">
        <f t="shared" si="1009"/>
        <v>173.99472587464408</v>
      </c>
      <c r="T689" s="1">
        <f t="shared" si="1010"/>
        <v>65.954704585388484</v>
      </c>
      <c r="U689" s="47">
        <f t="shared" si="1011"/>
        <v>65.84665045496979</v>
      </c>
      <c r="V689" s="47">
        <f t="shared" si="1012"/>
        <v>145.37956776336216</v>
      </c>
      <c r="W689" s="2">
        <f t="shared" si="992"/>
        <v>999.99856609140068</v>
      </c>
      <c r="X689" s="1">
        <f t="shared" si="1013"/>
        <v>91.560553962380808</v>
      </c>
      <c r="Y689" s="1">
        <f t="shared" si="1014"/>
        <v>18.023039546396941</v>
      </c>
      <c r="Z689" s="2">
        <f t="shared" si="1015"/>
        <v>3.7016598175801589</v>
      </c>
      <c r="AA689" s="3">
        <f t="shared" si="1016"/>
        <v>1000</v>
      </c>
      <c r="AB689" s="1">
        <f t="shared" si="961"/>
        <v>1.4339106553240555E-6</v>
      </c>
      <c r="AC689" s="1">
        <f t="shared" si="1020"/>
        <v>0</v>
      </c>
      <c r="AD689" s="64">
        <f t="shared" si="962"/>
        <v>0</v>
      </c>
      <c r="AE689" s="1">
        <f t="shared" si="1019"/>
        <v>18.500926284126972</v>
      </c>
    </row>
    <row r="690" spans="1:31" ht="13.5" customHeight="1">
      <c r="K690" s="47"/>
      <c r="L690" s="47"/>
      <c r="M690" s="47"/>
      <c r="N690" s="47">
        <f>SUM(N680:N689)</f>
        <v>6250.463142063486</v>
      </c>
      <c r="O690" s="2" t="s">
        <v>46</v>
      </c>
      <c r="P690" s="2"/>
      <c r="Q690" s="2"/>
      <c r="R690" s="49">
        <f>R670</f>
        <v>75</v>
      </c>
      <c r="S690" s="50" t="s">
        <v>45</v>
      </c>
      <c r="T690" s="2"/>
      <c r="U690" s="11">
        <f>U689</f>
        <v>65.84665045496979</v>
      </c>
      <c r="V690" s="47"/>
      <c r="W690" s="2"/>
      <c r="Y690" s="1">
        <f>N691</f>
        <v>18.500926284126972</v>
      </c>
      <c r="AE690" s="1">
        <f t="shared" si="1019"/>
        <v>18.500926284126972</v>
      </c>
    </row>
    <row r="691" spans="1:31" ht="13.5" customHeight="1">
      <c r="K691" s="47"/>
      <c r="L691" s="2" t="s">
        <v>44</v>
      </c>
      <c r="M691" s="2"/>
      <c r="N691" s="47">
        <f>N690*2/1000+Y691</f>
        <v>18.500926284126972</v>
      </c>
      <c r="O691" s="2" t="s">
        <v>1</v>
      </c>
      <c r="P691" s="1">
        <f>SUM(P680:P689)</f>
        <v>64.718977747567664</v>
      </c>
      <c r="Q691" s="1" t="s">
        <v>43</v>
      </c>
      <c r="S691" s="47"/>
      <c r="U691" s="47"/>
      <c r="V691" s="47"/>
      <c r="W691" s="2"/>
      <c r="Y691" s="3">
        <f>Y671</f>
        <v>6</v>
      </c>
      <c r="Z691" s="3" t="s">
        <v>42</v>
      </c>
      <c r="AE691" s="1">
        <f>N691</f>
        <v>18.500926284126972</v>
      </c>
    </row>
    <row r="692" spans="1:31" ht="13.5" customHeight="1">
      <c r="L692" s="60" t="s">
        <v>41</v>
      </c>
      <c r="N692" s="3">
        <f>N672</f>
        <v>15</v>
      </c>
      <c r="O692" s="1" t="s">
        <v>1</v>
      </c>
    </row>
    <row r="695" spans="1:31" ht="13.5" customHeight="1" thickBot="1"/>
    <row r="696" spans="1:31" ht="13.5" customHeight="1">
      <c r="B696" s="14" t="s">
        <v>40</v>
      </c>
      <c r="C696" s="15"/>
      <c r="D696" s="15"/>
      <c r="E696" s="15"/>
      <c r="F696" s="15"/>
      <c r="G696" s="15"/>
      <c r="H696" s="15" t="s">
        <v>39</v>
      </c>
      <c r="I696" s="16"/>
      <c r="J696" s="14" t="s">
        <v>38</v>
      </c>
      <c r="K696" s="15"/>
      <c r="L696" s="15"/>
      <c r="M696" s="15"/>
      <c r="N696" s="15" t="s">
        <v>37</v>
      </c>
      <c r="O696" s="15"/>
      <c r="P696" s="15"/>
      <c r="Q696" s="15"/>
      <c r="R696" s="15"/>
      <c r="S696" s="16"/>
      <c r="T696" s="14" t="s">
        <v>36</v>
      </c>
      <c r="U696" s="15"/>
      <c r="V696" s="16"/>
      <c r="W696" s="14"/>
      <c r="X696" s="15"/>
      <c r="Y696" s="15"/>
      <c r="Z696" s="16"/>
    </row>
    <row r="697" spans="1:31" ht="13.5" customHeight="1">
      <c r="B697" s="17" t="s">
        <v>35</v>
      </c>
      <c r="C697" s="18" t="s">
        <v>22</v>
      </c>
      <c r="D697" s="18"/>
      <c r="E697" s="18" t="s">
        <v>34</v>
      </c>
      <c r="F697" s="18" t="s">
        <v>33</v>
      </c>
      <c r="G697" s="18" t="s">
        <v>7</v>
      </c>
      <c r="H697" s="18" t="s">
        <v>32</v>
      </c>
      <c r="I697" s="19" t="s">
        <v>22</v>
      </c>
      <c r="J697" s="17" t="s">
        <v>31</v>
      </c>
      <c r="K697" s="18"/>
      <c r="L697" s="18" t="s">
        <v>30</v>
      </c>
      <c r="M697" s="18"/>
      <c r="N697" s="18" t="s">
        <v>29</v>
      </c>
      <c r="O697" s="18"/>
      <c r="P697" s="18" t="s">
        <v>28</v>
      </c>
      <c r="Q697" s="20" t="s">
        <v>27</v>
      </c>
      <c r="R697" s="21" t="s">
        <v>26</v>
      </c>
      <c r="S697" s="22" t="s">
        <v>7</v>
      </c>
      <c r="T697" s="23" t="s">
        <v>25</v>
      </c>
      <c r="U697" s="24" t="s">
        <v>24</v>
      </c>
      <c r="V697" s="25" t="s">
        <v>7</v>
      </c>
      <c r="W697" s="26" t="s">
        <v>23</v>
      </c>
      <c r="X697" s="4" t="s">
        <v>22</v>
      </c>
      <c r="Y697" s="4" t="s">
        <v>21</v>
      </c>
      <c r="Z697" s="5" t="s">
        <v>20</v>
      </c>
    </row>
    <row r="698" spans="1:31" ht="13.5" customHeight="1">
      <c r="B698" s="54" t="s">
        <v>3</v>
      </c>
      <c r="C698" s="28" t="s">
        <v>17</v>
      </c>
      <c r="D698" s="20" t="s">
        <v>13</v>
      </c>
      <c r="E698" s="20" t="s">
        <v>19</v>
      </c>
      <c r="F698" s="28" t="s">
        <v>19</v>
      </c>
      <c r="G698" s="20" t="s">
        <v>3</v>
      </c>
      <c r="H698" s="20" t="s">
        <v>19</v>
      </c>
      <c r="I698" s="29" t="s">
        <v>12</v>
      </c>
      <c r="J698" s="55" t="s">
        <v>18</v>
      </c>
      <c r="K698" s="20" t="s">
        <v>17</v>
      </c>
      <c r="L698" s="56" t="s">
        <v>16</v>
      </c>
      <c r="M698" s="20" t="s">
        <v>15</v>
      </c>
      <c r="N698" s="20" t="s">
        <v>14</v>
      </c>
      <c r="O698" s="20" t="s">
        <v>13</v>
      </c>
      <c r="P698" s="20" t="s">
        <v>12</v>
      </c>
      <c r="Q698" s="20" t="s">
        <v>11</v>
      </c>
      <c r="R698" s="21" t="s">
        <v>11</v>
      </c>
      <c r="S698" s="22" t="s">
        <v>10</v>
      </c>
      <c r="T698" s="23" t="s">
        <v>9</v>
      </c>
      <c r="U698" s="24" t="s">
        <v>9</v>
      </c>
      <c r="V698" s="33" t="s">
        <v>8</v>
      </c>
      <c r="W698" s="34" t="s">
        <v>7</v>
      </c>
      <c r="X698" s="4" t="s">
        <v>6</v>
      </c>
      <c r="Y698" s="6" t="s">
        <v>5</v>
      </c>
      <c r="Z698" s="7" t="s">
        <v>5</v>
      </c>
    </row>
    <row r="699" spans="1:31" ht="13.5" customHeight="1" thickBot="1">
      <c r="B699" s="57"/>
      <c r="C699" s="3">
        <f>C679</f>
        <v>1.05</v>
      </c>
      <c r="D699" s="37"/>
      <c r="E699" s="38"/>
      <c r="F699" s="38"/>
      <c r="G699" s="37"/>
      <c r="H699" s="37"/>
      <c r="I699" s="39"/>
      <c r="J699" s="58" t="s">
        <v>4</v>
      </c>
      <c r="K699" s="44"/>
      <c r="L699" s="59"/>
      <c r="M699" s="37"/>
      <c r="N699" s="37"/>
      <c r="O699" s="37"/>
      <c r="P699" s="37"/>
      <c r="Q699" s="42"/>
      <c r="R699" s="42"/>
      <c r="S699" s="52" t="s">
        <v>3</v>
      </c>
      <c r="T699" s="43"/>
      <c r="U699" s="44"/>
      <c r="V699" s="39" t="s">
        <v>3</v>
      </c>
      <c r="W699" s="45" t="s">
        <v>3</v>
      </c>
      <c r="X699" s="8" t="s">
        <v>2</v>
      </c>
      <c r="Y699" s="9" t="s">
        <v>1</v>
      </c>
      <c r="Z699" s="13" t="s">
        <v>0</v>
      </c>
    </row>
    <row r="700" spans="1:31" ht="13.5" customHeight="1">
      <c r="A700" s="1">
        <v>1</v>
      </c>
      <c r="B700" s="3">
        <f t="shared" ref="B700:B709" si="1021">B680</f>
        <v>1000</v>
      </c>
      <c r="C700" s="1">
        <f t="shared" ref="C700:C709" si="1022">IF(B700&lt;1,0.000001,C680*(1+AB680))</f>
        <v>4.4146002126633943E-2</v>
      </c>
      <c r="D700" s="1">
        <f t="shared" si="991"/>
        <v>0.89894543496758728</v>
      </c>
      <c r="E700" s="1">
        <f t="shared" ref="E700:E709" si="1023">R700</f>
        <v>73.209710631784162</v>
      </c>
      <c r="F700" s="1">
        <f t="shared" ref="F700:F709" si="1024">F680</f>
        <v>20</v>
      </c>
      <c r="G700" s="1">
        <f t="shared" ref="G700:G709" si="1025">(E700-F700)*C700*(1-D700)*4200</f>
        <v>996.98242943185846</v>
      </c>
      <c r="H700" s="1">
        <f t="shared" ref="H700:H709" si="1026">(E700-F700)*D700+F700</f>
        <v>67.832626468388668</v>
      </c>
      <c r="I700" s="1">
        <f t="shared" ref="I700:I709" si="1027">B700*0.001*6/C700</f>
        <v>135.91264692075276</v>
      </c>
      <c r="J700" s="3">
        <f t="shared" ref="J700:J709" si="1028">J680</f>
        <v>10</v>
      </c>
      <c r="K700" s="47">
        <f t="shared" ref="K700:K709" si="1029">K699+C700</f>
        <v>4.4146002126633943E-2</v>
      </c>
      <c r="L700" s="3">
        <f t="shared" ref="L700:L709" si="1030">L680</f>
        <v>3</v>
      </c>
      <c r="M700" s="47">
        <f t="shared" ref="M700:M709" si="1031">K700/(J700*J700*3.14/4000)</f>
        <v>0.56236945384247061</v>
      </c>
      <c r="N700" s="47">
        <f t="shared" ref="N700:N709" si="1032">L700*26400/J700^1.27*M700^1.83*$N$69</f>
        <v>1854.278436563716</v>
      </c>
      <c r="O700" s="1">
        <f t="shared" ref="O700:O709" si="1033">EXP(-(J700+2)*3.14/1000*$O$66/(M700*J700*J700*3.14/4000*4200)*L700)</f>
        <v>0.99392189385956464</v>
      </c>
      <c r="P700" s="1">
        <f t="shared" ref="P700:P709" si="1034">L700/M700</f>
        <v>5.3345713916395461</v>
      </c>
      <c r="Q700" s="1">
        <f t="shared" ref="Q700:Q709" si="1035">R701</f>
        <v>73.535102668039613</v>
      </c>
      <c r="R700" s="1">
        <f t="shared" ref="R700:R709" si="1036">(Q700-F700)*O700+F700</f>
        <v>73.209710631784162</v>
      </c>
      <c r="S700" s="47">
        <f t="shared" ref="S700:S709" si="1037">K700*(1-O700)*4200*(Q700-F700)</f>
        <v>60.331981602995739</v>
      </c>
      <c r="T700" s="1">
        <f t="shared" ref="T700:T709" si="1038">(U699*K699+H700*C700)/K700</f>
        <v>67.832626468388668</v>
      </c>
      <c r="U700" s="47">
        <f t="shared" ref="U700:U709" si="1039">(T700-F700)*O700+F700</f>
        <v>67.541894687737994</v>
      </c>
      <c r="V700" s="47">
        <f t="shared" ref="V700:V709" si="1040">K700*(1-O700)*4200*(T700-F700)</f>
        <v>53.905512388913998</v>
      </c>
      <c r="W700" s="2">
        <f t="shared" si="992"/>
        <v>996.99242943185845</v>
      </c>
      <c r="X700" s="1">
        <f t="shared" ref="X700:X709" si="1041">C700*3600</f>
        <v>158.9256076558822</v>
      </c>
      <c r="Y700" s="1">
        <f t="shared" ref="Y700:Y709" si="1042">Y701-2*N700/1000</f>
        <v>6.0000000000000053</v>
      </c>
      <c r="Z700" s="2">
        <f t="shared" ref="Z700:Z709" si="1043">-1.1-1.8*LOG10(Y700/X700/X700)</f>
        <v>5.4236257196172684</v>
      </c>
      <c r="AA700" s="3">
        <f t="shared" ref="AA700:AA709" si="1044">AA680</f>
        <v>1000</v>
      </c>
      <c r="AB700" s="1">
        <f t="shared" ref="AB700" si="1045">((AA700/W700)-1)*AB$23+AC700+AD700</f>
        <v>3.0166433358529421E-3</v>
      </c>
      <c r="AC700" s="1">
        <f>((N712/N711)-1)*AB$24</f>
        <v>0</v>
      </c>
      <c r="AD700" s="64">
        <f t="shared" ref="AD700" si="1046">(AC$21-(X700/1000/SQRT(Y700/104))*1000/B700)*AB$21</f>
        <v>0</v>
      </c>
      <c r="AE700" s="1">
        <f t="shared" ref="AE700:AE710" si="1047">AE701</f>
        <v>18.557141624060598</v>
      </c>
    </row>
    <row r="701" spans="1:31" ht="13.5" customHeight="1">
      <c r="A701" s="1">
        <v>2</v>
      </c>
      <c r="B701" s="3">
        <f t="shared" si="1021"/>
        <v>1000</v>
      </c>
      <c r="C701" s="1">
        <f t="shared" si="1022"/>
        <v>3.8776696919249162E-2</v>
      </c>
      <c r="D701" s="1">
        <f t="shared" si="991"/>
        <v>0.88553760597480513</v>
      </c>
      <c r="E701" s="1">
        <f t="shared" si="1023"/>
        <v>73.535102668039613</v>
      </c>
      <c r="F701" s="1">
        <f t="shared" si="1024"/>
        <v>20</v>
      </c>
      <c r="G701" s="1">
        <f t="shared" si="1025"/>
        <v>997.97937883794123</v>
      </c>
      <c r="H701" s="1">
        <f t="shared" si="1026"/>
        <v>67.407346652271201</v>
      </c>
      <c r="I701" s="1">
        <f t="shared" si="1027"/>
        <v>154.73210656634183</v>
      </c>
      <c r="J701" s="3">
        <f t="shared" si="1028"/>
        <v>14.142135623730951</v>
      </c>
      <c r="K701" s="47">
        <f t="shared" si="1029"/>
        <v>8.2922699045883105E-2</v>
      </c>
      <c r="L701" s="3">
        <f t="shared" si="1030"/>
        <v>3</v>
      </c>
      <c r="M701" s="47">
        <f t="shared" si="1031"/>
        <v>0.52817005761708979</v>
      </c>
      <c r="N701" s="47">
        <f t="shared" si="1032"/>
        <v>1064.5281723806734</v>
      </c>
      <c r="O701" s="1">
        <f t="shared" si="1033"/>
        <v>0.99564346263737757</v>
      </c>
      <c r="P701" s="1">
        <f t="shared" si="1034"/>
        <v>5.67998877773364</v>
      </c>
      <c r="Q701" s="1">
        <f t="shared" si="1035"/>
        <v>73.769350853999015</v>
      </c>
      <c r="R701" s="1">
        <f t="shared" si="1036"/>
        <v>73.535102668039613</v>
      </c>
      <c r="S701" s="47">
        <f t="shared" si="1037"/>
        <v>81.582865670692897</v>
      </c>
      <c r="T701" s="1">
        <f t="shared" si="1038"/>
        <v>67.478976711690336</v>
      </c>
      <c r="U701" s="47">
        <f t="shared" si="1039"/>
        <v>67.27213277570678</v>
      </c>
      <c r="V701" s="47">
        <f t="shared" si="1040"/>
        <v>72.038641302728408</v>
      </c>
      <c r="W701" s="2">
        <f t="shared" si="992"/>
        <v>997.98937883794122</v>
      </c>
      <c r="X701" s="1">
        <f t="shared" si="1041"/>
        <v>139.59610890929699</v>
      </c>
      <c r="Y701" s="1">
        <f t="shared" si="1042"/>
        <v>9.7085568731274368</v>
      </c>
      <c r="Z701" s="2">
        <f t="shared" si="1043"/>
        <v>4.8446655043492459</v>
      </c>
      <c r="AA701" s="3">
        <f t="shared" si="1044"/>
        <v>1000</v>
      </c>
      <c r="AB701" s="1">
        <f t="shared" si="961"/>
        <v>2.0146719040237127E-3</v>
      </c>
      <c r="AC701" s="1">
        <f t="shared" ref="AC701:AC709" si="1048">AC700</f>
        <v>0</v>
      </c>
      <c r="AD701" s="64">
        <f t="shared" si="962"/>
        <v>0</v>
      </c>
      <c r="AE701" s="1">
        <f t="shared" si="1047"/>
        <v>18.557141624060598</v>
      </c>
    </row>
    <row r="702" spans="1:31" ht="13.5" customHeight="1">
      <c r="A702" s="1">
        <v>3</v>
      </c>
      <c r="B702" s="3">
        <f t="shared" si="1021"/>
        <v>1000</v>
      </c>
      <c r="C702" s="1">
        <f t="shared" si="1022"/>
        <v>3.5587072378705287E-2</v>
      </c>
      <c r="D702" s="1">
        <f t="shared" si="991"/>
        <v>0.87575209967072831</v>
      </c>
      <c r="E702" s="1">
        <f t="shared" si="1023"/>
        <v>73.769350853999015</v>
      </c>
      <c r="F702" s="1">
        <f t="shared" si="1024"/>
        <v>20</v>
      </c>
      <c r="G702" s="1">
        <f t="shared" si="1025"/>
        <v>998.53985503578542</v>
      </c>
      <c r="H702" s="1">
        <f t="shared" si="1026"/>
        <v>67.088621908321699</v>
      </c>
      <c r="I702" s="1">
        <f t="shared" si="1027"/>
        <v>168.6005506761017</v>
      </c>
      <c r="J702" s="3">
        <f t="shared" si="1028"/>
        <v>17.320508075688775</v>
      </c>
      <c r="K702" s="47">
        <f t="shared" si="1029"/>
        <v>0.11850977142458839</v>
      </c>
      <c r="L702" s="3">
        <f t="shared" si="1030"/>
        <v>3</v>
      </c>
      <c r="M702" s="47">
        <f t="shared" si="1031"/>
        <v>0.50322620562457898</v>
      </c>
      <c r="N702" s="47">
        <f t="shared" si="1032"/>
        <v>753.16467681336644</v>
      </c>
      <c r="O702" s="1">
        <f t="shared" si="1033"/>
        <v>0.99635017335656084</v>
      </c>
      <c r="P702" s="1">
        <f t="shared" si="1034"/>
        <v>5.9615337326810147</v>
      </c>
      <c r="Q702" s="1">
        <f t="shared" si="1035"/>
        <v>73.966318561332486</v>
      </c>
      <c r="R702" s="1">
        <f t="shared" si="1036"/>
        <v>73.769350853999015</v>
      </c>
      <c r="S702" s="47">
        <f t="shared" si="1037"/>
        <v>98.038911491285191</v>
      </c>
      <c r="T702" s="1">
        <f t="shared" si="1038"/>
        <v>67.217026648664188</v>
      </c>
      <c r="U702" s="47">
        <f t="shared" si="1039"/>
        <v>67.044692686777921</v>
      </c>
      <c r="V702" s="47">
        <f t="shared" si="1040"/>
        <v>85.777685413710103</v>
      </c>
      <c r="W702" s="2">
        <f t="shared" si="992"/>
        <v>998.54985503578541</v>
      </c>
      <c r="X702" s="1">
        <f t="shared" si="1041"/>
        <v>128.11346056333903</v>
      </c>
      <c r="Y702" s="1">
        <f t="shared" si="1042"/>
        <v>11.837613217888784</v>
      </c>
      <c r="Z702" s="2">
        <f t="shared" si="1043"/>
        <v>4.5554656822694657</v>
      </c>
      <c r="AA702" s="3">
        <f t="shared" si="1044"/>
        <v>1000</v>
      </c>
      <c r="AB702" s="1">
        <f t="shared" si="961"/>
        <v>1.4522509385999083E-3</v>
      </c>
      <c r="AC702" s="1">
        <f t="shared" si="1048"/>
        <v>0</v>
      </c>
      <c r="AD702" s="64">
        <f t="shared" si="962"/>
        <v>0</v>
      </c>
      <c r="AE702" s="1">
        <f t="shared" si="1047"/>
        <v>18.557141624060598</v>
      </c>
    </row>
    <row r="703" spans="1:31" ht="13.5" customHeight="1">
      <c r="A703" s="1">
        <v>4</v>
      </c>
      <c r="B703" s="3">
        <f t="shared" si="1021"/>
        <v>1000</v>
      </c>
      <c r="C703" s="1">
        <f t="shared" si="1022"/>
        <v>3.3255368917005632E-2</v>
      </c>
      <c r="D703" s="1">
        <f t="shared" si="991"/>
        <v>0.86747428477943189</v>
      </c>
      <c r="E703" s="1">
        <f t="shared" si="1023"/>
        <v>73.966318561332486</v>
      </c>
      <c r="F703" s="1">
        <f t="shared" si="1024"/>
        <v>20</v>
      </c>
      <c r="G703" s="1">
        <f t="shared" si="1025"/>
        <v>998.92759336940594</v>
      </c>
      <c r="H703" s="1">
        <f t="shared" si="1026"/>
        <v>66.814393596170873</v>
      </c>
      <c r="I703" s="1">
        <f t="shared" si="1027"/>
        <v>180.42199486567145</v>
      </c>
      <c r="J703" s="3">
        <f t="shared" si="1028"/>
        <v>20</v>
      </c>
      <c r="K703" s="47">
        <f t="shared" si="1029"/>
        <v>0.15176514034159402</v>
      </c>
      <c r="L703" s="3">
        <f t="shared" si="1030"/>
        <v>3</v>
      </c>
      <c r="M703" s="47">
        <f t="shared" si="1031"/>
        <v>0.48332847242545868</v>
      </c>
      <c r="N703" s="47">
        <f t="shared" si="1032"/>
        <v>582.76123512074378</v>
      </c>
      <c r="O703" s="1">
        <f t="shared" si="1033"/>
        <v>0.99675401541092745</v>
      </c>
      <c r="P703" s="1">
        <f t="shared" si="1034"/>
        <v>6.2069589754257128</v>
      </c>
      <c r="Q703" s="1">
        <f t="shared" si="1035"/>
        <v>74.142062863006402</v>
      </c>
      <c r="R703" s="1">
        <f t="shared" si="1036"/>
        <v>73.966318561332486</v>
      </c>
      <c r="S703" s="47">
        <f t="shared" si="1037"/>
        <v>112.0218061526646</v>
      </c>
      <c r="T703" s="1">
        <f t="shared" si="1038"/>
        <v>66.994228652664759</v>
      </c>
      <c r="U703" s="47">
        <f t="shared" si="1039"/>
        <v>66.841686110682858</v>
      </c>
      <c r="V703" s="47">
        <f t="shared" si="1040"/>
        <v>97.232689226176404</v>
      </c>
      <c r="W703" s="2">
        <f t="shared" si="992"/>
        <v>998.93759336940593</v>
      </c>
      <c r="X703" s="1">
        <f t="shared" si="1041"/>
        <v>119.71932810122027</v>
      </c>
      <c r="Y703" s="1">
        <f t="shared" si="1042"/>
        <v>13.343942571515516</v>
      </c>
      <c r="Z703" s="2">
        <f t="shared" si="1043"/>
        <v>4.3558798792540134</v>
      </c>
      <c r="AA703" s="3">
        <f t="shared" si="1044"/>
        <v>1000</v>
      </c>
      <c r="AB703" s="1">
        <f t="shared" si="961"/>
        <v>1.0635365388649287E-3</v>
      </c>
      <c r="AC703" s="1">
        <f t="shared" si="1048"/>
        <v>0</v>
      </c>
      <c r="AD703" s="64">
        <f t="shared" si="962"/>
        <v>0</v>
      </c>
      <c r="AE703" s="1">
        <f t="shared" si="1047"/>
        <v>18.557141624060598</v>
      </c>
    </row>
    <row r="704" spans="1:31" ht="13.5" customHeight="1">
      <c r="A704" s="1">
        <v>5</v>
      </c>
      <c r="B704" s="3">
        <f t="shared" si="1021"/>
        <v>1000</v>
      </c>
      <c r="C704" s="1">
        <f t="shared" si="1022"/>
        <v>3.1402052025534068E-2</v>
      </c>
      <c r="D704" s="1">
        <f t="shared" si="991"/>
        <v>0.86006764713771655</v>
      </c>
      <c r="E704" s="1">
        <f t="shared" si="1023"/>
        <v>74.142062863006402</v>
      </c>
      <c r="F704" s="1">
        <f t="shared" si="1024"/>
        <v>20</v>
      </c>
      <c r="G704" s="1">
        <f t="shared" si="1025"/>
        <v>999.21801298277637</v>
      </c>
      <c r="H704" s="1">
        <f t="shared" si="1026"/>
        <v>66.565836617768255</v>
      </c>
      <c r="I704" s="1">
        <f t="shared" si="1027"/>
        <v>191.07031588640123</v>
      </c>
      <c r="J704" s="3">
        <f t="shared" si="1028"/>
        <v>22.360679774997898</v>
      </c>
      <c r="K704" s="47">
        <f t="shared" si="1029"/>
        <v>0.18316719236712808</v>
      </c>
      <c r="L704" s="3">
        <f t="shared" si="1030"/>
        <v>3</v>
      </c>
      <c r="M704" s="47">
        <f t="shared" si="1031"/>
        <v>0.46666800603089947</v>
      </c>
      <c r="N704" s="47">
        <f t="shared" si="1032"/>
        <v>474.32272459076194</v>
      </c>
      <c r="O704" s="1">
        <f t="shared" si="1033"/>
        <v>0.99702151270138695</v>
      </c>
      <c r="P704" s="1">
        <f t="shared" si="1034"/>
        <v>6.4285529781987263</v>
      </c>
      <c r="Q704" s="1">
        <f t="shared" si="1035"/>
        <v>74.303806059621323</v>
      </c>
      <c r="R704" s="1">
        <f t="shared" si="1036"/>
        <v>74.142062863006402</v>
      </c>
      <c r="S704" s="47">
        <f t="shared" si="1037"/>
        <v>124.42939827545158</v>
      </c>
      <c r="T704" s="1">
        <f t="shared" si="1038"/>
        <v>66.794394671556802</v>
      </c>
      <c r="U704" s="47">
        <f t="shared" si="1039"/>
        <v>66.655018161381292</v>
      </c>
      <c r="V704" s="47">
        <f t="shared" si="1040"/>
        <v>107.22265701326816</v>
      </c>
      <c r="W704" s="2">
        <f t="shared" si="992"/>
        <v>999.22801298277636</v>
      </c>
      <c r="X704" s="1">
        <f t="shared" si="1041"/>
        <v>113.04738729192265</v>
      </c>
      <c r="Y704" s="1">
        <f t="shared" si="1042"/>
        <v>14.509465041757004</v>
      </c>
      <c r="Z704" s="2">
        <f t="shared" si="1043"/>
        <v>4.2007653855359415</v>
      </c>
      <c r="AA704" s="3">
        <f t="shared" si="1044"/>
        <v>1000</v>
      </c>
      <c r="AB704" s="1">
        <f t="shared" si="961"/>
        <v>7.7258344161035275E-4</v>
      </c>
      <c r="AC704" s="1">
        <f t="shared" si="1048"/>
        <v>0</v>
      </c>
      <c r="AD704" s="64">
        <f t="shared" si="962"/>
        <v>0</v>
      </c>
      <c r="AE704" s="1">
        <f t="shared" si="1047"/>
        <v>18.557141624060598</v>
      </c>
    </row>
    <row r="705" spans="1:31" ht="13.5" customHeight="1">
      <c r="A705" s="1">
        <v>6</v>
      </c>
      <c r="B705" s="3">
        <f t="shared" si="1021"/>
        <v>1000</v>
      </c>
      <c r="C705" s="1">
        <f t="shared" si="1022"/>
        <v>2.9859702825990375E-2</v>
      </c>
      <c r="D705" s="1">
        <f t="shared" si="991"/>
        <v>0.8532447283559641</v>
      </c>
      <c r="E705" s="1">
        <f t="shared" si="1023"/>
        <v>74.303806059621323</v>
      </c>
      <c r="F705" s="1">
        <f t="shared" si="1024"/>
        <v>20</v>
      </c>
      <c r="G705" s="1">
        <f t="shared" si="1025"/>
        <v>999.4446597434071</v>
      </c>
      <c r="H705" s="1">
        <f t="shared" si="1026"/>
        <v>66.334436250036561</v>
      </c>
      <c r="I705" s="1">
        <f t="shared" si="1027"/>
        <v>200.93970911115369</v>
      </c>
      <c r="J705" s="3">
        <f t="shared" si="1028"/>
        <v>24.494897427831781</v>
      </c>
      <c r="K705" s="47">
        <f t="shared" si="1029"/>
        <v>0.21302689519311846</v>
      </c>
      <c r="L705" s="3">
        <f t="shared" si="1030"/>
        <v>3</v>
      </c>
      <c r="M705" s="47">
        <f t="shared" si="1031"/>
        <v>0.45228640168390333</v>
      </c>
      <c r="N705" s="47">
        <f t="shared" si="1032"/>
        <v>398.94765030655344</v>
      </c>
      <c r="O705" s="1">
        <f t="shared" si="1033"/>
        <v>0.99721436749465664</v>
      </c>
      <c r="P705" s="1">
        <f t="shared" si="1034"/>
        <v>6.6329652822431271</v>
      </c>
      <c r="Q705" s="1">
        <f t="shared" si="1035"/>
        <v>74.455499067919618</v>
      </c>
      <c r="R705" s="1">
        <f t="shared" si="1036"/>
        <v>74.303806059621323</v>
      </c>
      <c r="S705" s="47">
        <f t="shared" si="1037"/>
        <v>135.72170043721417</v>
      </c>
      <c r="T705" s="1">
        <f t="shared" si="1038"/>
        <v>66.610082611832652</v>
      </c>
      <c r="U705" s="47">
        <f t="shared" si="1039"/>
        <v>66.480244050632393</v>
      </c>
      <c r="V705" s="47">
        <f t="shared" si="1040"/>
        <v>116.1682433890993</v>
      </c>
      <c r="W705" s="2">
        <f t="shared" si="992"/>
        <v>999.45465974340709</v>
      </c>
      <c r="X705" s="1">
        <f t="shared" si="1041"/>
        <v>107.49493017356535</v>
      </c>
      <c r="Y705" s="1">
        <f t="shared" si="1042"/>
        <v>15.458110490938527</v>
      </c>
      <c r="Z705" s="2">
        <f t="shared" si="1043"/>
        <v>4.0725152019742303</v>
      </c>
      <c r="AA705" s="3">
        <f t="shared" si="1044"/>
        <v>1000</v>
      </c>
      <c r="AB705" s="1">
        <f t="shared" si="961"/>
        <v>5.456378148589458E-4</v>
      </c>
      <c r="AC705" s="1">
        <f t="shared" si="1048"/>
        <v>0</v>
      </c>
      <c r="AD705" s="64">
        <f t="shared" si="962"/>
        <v>0</v>
      </c>
      <c r="AE705" s="1">
        <f t="shared" si="1047"/>
        <v>18.557141624060598</v>
      </c>
    </row>
    <row r="706" spans="1:31" ht="13.5" customHeight="1">
      <c r="A706" s="1">
        <v>7</v>
      </c>
      <c r="B706" s="3">
        <f t="shared" si="1021"/>
        <v>1000</v>
      </c>
      <c r="C706" s="1">
        <f t="shared" si="1022"/>
        <v>2.8537998382210883E-2</v>
      </c>
      <c r="D706" s="1">
        <f t="shared" si="991"/>
        <v>0.84684790545572897</v>
      </c>
      <c r="E706" s="1">
        <f t="shared" si="1023"/>
        <v>74.455499067919618</v>
      </c>
      <c r="F706" s="1">
        <f t="shared" si="1024"/>
        <v>20</v>
      </c>
      <c r="G706" s="1">
        <f t="shared" si="1025"/>
        <v>999.62586002358444</v>
      </c>
      <c r="H706" s="1">
        <f t="shared" si="1026"/>
        <v>66.11552532621414</v>
      </c>
      <c r="I706" s="1">
        <f t="shared" si="1027"/>
        <v>210.24599972435666</v>
      </c>
      <c r="J706" s="3">
        <f t="shared" si="1028"/>
        <v>26.457513110645905</v>
      </c>
      <c r="K706" s="47">
        <f t="shared" si="1029"/>
        <v>0.24156489357532934</v>
      </c>
      <c r="L706" s="3">
        <f t="shared" si="1030"/>
        <v>3</v>
      </c>
      <c r="M706" s="47">
        <f t="shared" si="1031"/>
        <v>0.43960854153836099</v>
      </c>
      <c r="N706" s="47">
        <f t="shared" si="1032"/>
        <v>343.40684114777451</v>
      </c>
      <c r="O706" s="1">
        <f t="shared" si="1033"/>
        <v>0.9973612933032231</v>
      </c>
      <c r="P706" s="1">
        <f t="shared" si="1034"/>
        <v>6.8242532083244676</v>
      </c>
      <c r="Q706" s="1">
        <f t="shared" si="1035"/>
        <v>74.599571322409204</v>
      </c>
      <c r="R706" s="1">
        <f t="shared" si="1036"/>
        <v>74.455499067919618</v>
      </c>
      <c r="S706" s="47">
        <f t="shared" si="1037"/>
        <v>146.17175505632881</v>
      </c>
      <c r="T706" s="1">
        <f t="shared" si="1038"/>
        <v>66.43715690244062</v>
      </c>
      <c r="U706" s="47">
        <f t="shared" si="1039"/>
        <v>66.314622865542873</v>
      </c>
      <c r="V706" s="47">
        <f t="shared" si="1040"/>
        <v>124.31967064675385</v>
      </c>
      <c r="W706" s="2">
        <f t="shared" si="992"/>
        <v>999.63586002358443</v>
      </c>
      <c r="X706" s="1">
        <f t="shared" si="1041"/>
        <v>102.73679417595918</v>
      </c>
      <c r="Y706" s="1">
        <f t="shared" si="1042"/>
        <v>16.256005791551633</v>
      </c>
      <c r="Z706" s="2">
        <f t="shared" si="1043"/>
        <v>3.9623887135717664</v>
      </c>
      <c r="AA706" s="3">
        <f t="shared" si="1044"/>
        <v>1000</v>
      </c>
      <c r="AB706" s="1">
        <f t="shared" si="961"/>
        <v>3.642726226398274E-4</v>
      </c>
      <c r="AC706" s="1">
        <f t="shared" si="1048"/>
        <v>0</v>
      </c>
      <c r="AD706" s="64">
        <f t="shared" si="962"/>
        <v>0</v>
      </c>
      <c r="AE706" s="1">
        <f t="shared" si="1047"/>
        <v>18.557141624060598</v>
      </c>
    </row>
    <row r="707" spans="1:31" ht="13.5" customHeight="1">
      <c r="A707" s="1">
        <v>8</v>
      </c>
      <c r="B707" s="3">
        <f t="shared" si="1021"/>
        <v>1000</v>
      </c>
      <c r="C707" s="1">
        <f t="shared" si="1022"/>
        <v>2.7382019696282348E-2</v>
      </c>
      <c r="D707" s="1">
        <f t="shared" si="991"/>
        <v>0.84078009311150659</v>
      </c>
      <c r="E707" s="1">
        <f t="shared" si="1023"/>
        <v>74.599571322409204</v>
      </c>
      <c r="F707" s="1">
        <f t="shared" si="1024"/>
        <v>20</v>
      </c>
      <c r="G707" s="1">
        <f t="shared" si="1025"/>
        <v>999.7729159833649</v>
      </c>
      <c r="H707" s="1">
        <f t="shared" si="1026"/>
        <v>65.906232660303559</v>
      </c>
      <c r="I707" s="1">
        <f t="shared" si="1027"/>
        <v>219.12189336474032</v>
      </c>
      <c r="J707" s="3">
        <f t="shared" si="1028"/>
        <v>28.284271247461902</v>
      </c>
      <c r="K707" s="47">
        <f t="shared" si="1029"/>
        <v>0.26894691327161169</v>
      </c>
      <c r="L707" s="3">
        <f t="shared" si="1030"/>
        <v>3</v>
      </c>
      <c r="M707" s="47">
        <f t="shared" si="1031"/>
        <v>0.42825941603759815</v>
      </c>
      <c r="N707" s="47">
        <f t="shared" si="1032"/>
        <v>300.74382384786253</v>
      </c>
      <c r="O707" s="1">
        <f t="shared" si="1033"/>
        <v>0.99747765853378045</v>
      </c>
      <c r="P707" s="1">
        <f t="shared" si="1034"/>
        <v>7.0050999176083995</v>
      </c>
      <c r="Q707" s="1">
        <f t="shared" si="1035"/>
        <v>74.737638337350432</v>
      </c>
      <c r="R707" s="1">
        <f t="shared" si="1036"/>
        <v>74.599571322409204</v>
      </c>
      <c r="S707" s="47">
        <f t="shared" si="1037"/>
        <v>155.95732947088851</v>
      </c>
      <c r="T707" s="1">
        <f t="shared" si="1038"/>
        <v>66.273043847187168</v>
      </c>
      <c r="U707" s="47">
        <f t="shared" si="1039"/>
        <v>66.156327429923209</v>
      </c>
      <c r="V707" s="47">
        <f t="shared" si="1040"/>
        <v>131.84018463530151</v>
      </c>
      <c r="W707" s="2">
        <f t="shared" si="992"/>
        <v>999.78291598336489</v>
      </c>
      <c r="X707" s="1">
        <f t="shared" si="1041"/>
        <v>98.575270906616453</v>
      </c>
      <c r="Y707" s="1">
        <f t="shared" si="1042"/>
        <v>16.942819473847184</v>
      </c>
      <c r="Z707" s="2">
        <f t="shared" si="1043"/>
        <v>3.8653904952177798</v>
      </c>
      <c r="AA707" s="3">
        <f t="shared" si="1044"/>
        <v>1000</v>
      </c>
      <c r="AB707" s="1">
        <f t="shared" si="961"/>
        <v>2.1713115233779057E-4</v>
      </c>
      <c r="AC707" s="1">
        <f t="shared" si="1048"/>
        <v>0</v>
      </c>
      <c r="AD707" s="64">
        <f t="shared" si="962"/>
        <v>0</v>
      </c>
      <c r="AE707" s="1">
        <f t="shared" si="1047"/>
        <v>18.557141624060598</v>
      </c>
    </row>
    <row r="708" spans="1:31" ht="13.5" customHeight="1">
      <c r="A708" s="1">
        <v>9</v>
      </c>
      <c r="B708" s="3">
        <f t="shared" si="1021"/>
        <v>1000</v>
      </c>
      <c r="C708" s="1">
        <f t="shared" si="1022"/>
        <v>2.6355600893502914E-2</v>
      </c>
      <c r="D708" s="1">
        <f t="shared" si="991"/>
        <v>0.83497664033651664</v>
      </c>
      <c r="E708" s="1">
        <f t="shared" si="1023"/>
        <v>74.737638337350432</v>
      </c>
      <c r="F708" s="1">
        <f t="shared" si="1024"/>
        <v>20</v>
      </c>
      <c r="G708" s="1">
        <f t="shared" si="1025"/>
        <v>999.893380046728</v>
      </c>
      <c r="H708" s="1">
        <f t="shared" si="1026"/>
        <v>65.704649358876168</v>
      </c>
      <c r="I708" s="1">
        <f t="shared" si="1027"/>
        <v>227.65559488644018</v>
      </c>
      <c r="J708" s="3">
        <f t="shared" si="1028"/>
        <v>30</v>
      </c>
      <c r="K708" s="47">
        <f t="shared" si="1029"/>
        <v>0.2953025141651146</v>
      </c>
      <c r="L708" s="3">
        <f t="shared" si="1030"/>
        <v>3</v>
      </c>
      <c r="M708" s="47">
        <f t="shared" si="1031"/>
        <v>0.4179794963412804</v>
      </c>
      <c r="N708" s="47">
        <f t="shared" si="1032"/>
        <v>266.93456364059818</v>
      </c>
      <c r="O708" s="1">
        <f t="shared" si="1033"/>
        <v>0.99757251368458522</v>
      </c>
      <c r="P708" s="1">
        <f t="shared" si="1034"/>
        <v>7.1773855566123252</v>
      </c>
      <c r="Q708" s="1">
        <f t="shared" si="1035"/>
        <v>74.870836542171915</v>
      </c>
      <c r="R708" s="1">
        <f t="shared" si="1036"/>
        <v>74.737638337350432</v>
      </c>
      <c r="S708" s="47">
        <f t="shared" si="1037"/>
        <v>165.20181201746905</v>
      </c>
      <c r="T708" s="1">
        <f t="shared" si="1038"/>
        <v>66.116015389212961</v>
      </c>
      <c r="U708" s="47">
        <f t="shared" si="1039"/>
        <v>66.004069392934184</v>
      </c>
      <c r="V708" s="47">
        <f t="shared" si="1040"/>
        <v>138.8433234377278</v>
      </c>
      <c r="W708" s="2">
        <f t="shared" si="992"/>
        <v>999.90338004672799</v>
      </c>
      <c r="X708" s="1">
        <f t="shared" si="1041"/>
        <v>94.880163216610484</v>
      </c>
      <c r="Y708" s="1">
        <f t="shared" si="1042"/>
        <v>17.544307121542907</v>
      </c>
      <c r="Z708" s="2">
        <f t="shared" si="1043"/>
        <v>3.7783863249149525</v>
      </c>
      <c r="AA708" s="3">
        <f t="shared" si="1044"/>
        <v>1000</v>
      </c>
      <c r="AB708" s="1">
        <f t="shared" si="961"/>
        <v>9.662928958942274E-5</v>
      </c>
      <c r="AC708" s="1">
        <f t="shared" si="1048"/>
        <v>0</v>
      </c>
      <c r="AD708" s="64">
        <f t="shared" si="962"/>
        <v>0</v>
      </c>
      <c r="AE708" s="1">
        <f t="shared" si="1047"/>
        <v>18.557141624060598</v>
      </c>
    </row>
    <row r="709" spans="1:31" ht="13.5" customHeight="1">
      <c r="A709" s="1">
        <v>10</v>
      </c>
      <c r="B709" s="3">
        <f t="shared" si="1021"/>
        <v>1000</v>
      </c>
      <c r="C709" s="1">
        <f t="shared" si="1022"/>
        <v>2.5433523681120764E-2</v>
      </c>
      <c r="D709" s="1">
        <f t="shared" si="991"/>
        <v>0.82939200523456047</v>
      </c>
      <c r="E709" s="1">
        <f t="shared" si="1023"/>
        <v>74.870836542171915</v>
      </c>
      <c r="F709" s="1">
        <f t="shared" si="1024"/>
        <v>20</v>
      </c>
      <c r="G709" s="1">
        <f t="shared" si="1025"/>
        <v>999.99259457448682</v>
      </c>
      <c r="H709" s="1">
        <f t="shared" si="1026"/>
        <v>65.509433148609759</v>
      </c>
      <c r="I709" s="1">
        <f t="shared" si="1027"/>
        <v>235.90911252512697</v>
      </c>
      <c r="J709" s="3">
        <f t="shared" si="1028"/>
        <v>31.622776601683793</v>
      </c>
      <c r="K709" s="47">
        <f t="shared" si="1029"/>
        <v>0.32073603784623539</v>
      </c>
      <c r="L709" s="3">
        <f t="shared" si="1030"/>
        <v>3</v>
      </c>
      <c r="M709" s="47">
        <f t="shared" si="1031"/>
        <v>0.40858093993151001</v>
      </c>
      <c r="N709" s="47">
        <f t="shared" si="1032"/>
        <v>239.48268761824804</v>
      </c>
      <c r="O709" s="1">
        <f t="shared" si="1033"/>
        <v>0.99765157349403477</v>
      </c>
      <c r="P709" s="1">
        <f t="shared" si="1034"/>
        <v>7.3424864128583351</v>
      </c>
      <c r="Q709" s="1">
        <f t="shared" si="1035"/>
        <v>75</v>
      </c>
      <c r="R709" s="1">
        <f t="shared" si="1036"/>
        <v>74.870836542171915</v>
      </c>
      <c r="S709" s="47">
        <f t="shared" si="1037"/>
        <v>173.99497793286054</v>
      </c>
      <c r="T709" s="1">
        <f t="shared" si="1038"/>
        <v>65.964846040553695</v>
      </c>
      <c r="U709" s="47">
        <f t="shared" si="1039"/>
        <v>65.856900977769442</v>
      </c>
      <c r="V709" s="47">
        <f t="shared" si="1040"/>
        <v>145.41186131842676</v>
      </c>
      <c r="W709" s="2">
        <f t="shared" si="992"/>
        <v>1000.0025945744868</v>
      </c>
      <c r="X709" s="1">
        <f t="shared" si="1041"/>
        <v>91.560685252034745</v>
      </c>
      <c r="Y709" s="1">
        <f t="shared" si="1042"/>
        <v>18.078176248824104</v>
      </c>
      <c r="Z709" s="2">
        <f t="shared" si="1043"/>
        <v>3.6992742145623629</v>
      </c>
      <c r="AA709" s="3">
        <f t="shared" si="1044"/>
        <v>1000</v>
      </c>
      <c r="AB709" s="1">
        <f t="shared" si="961"/>
        <v>-2.5945677549765733E-6</v>
      </c>
      <c r="AC709" s="1">
        <f t="shared" si="1048"/>
        <v>0</v>
      </c>
      <c r="AD709" s="64">
        <f t="shared" si="962"/>
        <v>0</v>
      </c>
      <c r="AE709" s="1">
        <f t="shared" si="1047"/>
        <v>18.557141624060598</v>
      </c>
    </row>
    <row r="710" spans="1:31" ht="13.5" customHeight="1">
      <c r="K710" s="47"/>
      <c r="L710" s="47"/>
      <c r="M710" s="47"/>
      <c r="N710" s="47">
        <f>SUM(N700:N709)</f>
        <v>6278.5708120302979</v>
      </c>
      <c r="O710" s="2" t="s">
        <v>46</v>
      </c>
      <c r="P710" s="2"/>
      <c r="Q710" s="2"/>
      <c r="R710" s="49">
        <f>R690</f>
        <v>75</v>
      </c>
      <c r="S710" s="50" t="s">
        <v>45</v>
      </c>
      <c r="T710" s="2"/>
      <c r="U710" s="11">
        <f>U709</f>
        <v>65.856900977769442</v>
      </c>
      <c r="V710" s="47"/>
      <c r="W710" s="2"/>
      <c r="Y710" s="1">
        <f>N711</f>
        <v>18.557141624060598</v>
      </c>
      <c r="AE710" s="1">
        <f t="shared" si="1047"/>
        <v>18.557141624060598</v>
      </c>
    </row>
    <row r="711" spans="1:31" ht="13.5" customHeight="1">
      <c r="K711" s="47"/>
      <c r="L711" s="2" t="s">
        <v>44</v>
      </c>
      <c r="M711" s="2"/>
      <c r="N711" s="47">
        <f>N710*2/1000+Y711</f>
        <v>18.557141624060598</v>
      </c>
      <c r="O711" s="2" t="s">
        <v>1</v>
      </c>
      <c r="P711" s="1">
        <f>SUM(P700:P709)</f>
        <v>64.593796233325293</v>
      </c>
      <c r="Q711" s="1" t="s">
        <v>43</v>
      </c>
      <c r="S711" s="47"/>
      <c r="U711" s="47"/>
      <c r="V711" s="47"/>
      <c r="W711" s="2"/>
      <c r="Y711" s="3">
        <f>Y691</f>
        <v>6</v>
      </c>
      <c r="Z711" s="3" t="s">
        <v>42</v>
      </c>
      <c r="AE711" s="1">
        <f>N711</f>
        <v>18.557141624060598</v>
      </c>
    </row>
    <row r="712" spans="1:31" ht="13.5" customHeight="1">
      <c r="L712" s="60" t="s">
        <v>41</v>
      </c>
      <c r="N712" s="3">
        <f>N692</f>
        <v>15</v>
      </c>
      <c r="O712" s="1" t="s">
        <v>1</v>
      </c>
    </row>
    <row r="715" spans="1:31" ht="13.5" customHeight="1" thickBot="1"/>
    <row r="716" spans="1:31" ht="13.5" customHeight="1">
      <c r="B716" s="14" t="s">
        <v>40</v>
      </c>
      <c r="C716" s="15"/>
      <c r="D716" s="15"/>
      <c r="E716" s="15"/>
      <c r="F716" s="15"/>
      <c r="G716" s="15"/>
      <c r="H716" s="15" t="s">
        <v>39</v>
      </c>
      <c r="I716" s="16"/>
      <c r="J716" s="14" t="s">
        <v>38</v>
      </c>
      <c r="K716" s="15"/>
      <c r="L716" s="15"/>
      <c r="M716" s="15"/>
      <c r="N716" s="15" t="s">
        <v>37</v>
      </c>
      <c r="O716" s="15"/>
      <c r="P716" s="15"/>
      <c r="Q716" s="15"/>
      <c r="R716" s="15"/>
      <c r="S716" s="16"/>
      <c r="T716" s="14" t="s">
        <v>36</v>
      </c>
      <c r="U716" s="15"/>
      <c r="V716" s="16"/>
      <c r="W716" s="14"/>
      <c r="X716" s="15"/>
      <c r="Y716" s="15"/>
      <c r="Z716" s="16"/>
    </row>
    <row r="717" spans="1:31" ht="13.5" customHeight="1">
      <c r="B717" s="17" t="s">
        <v>35</v>
      </c>
      <c r="C717" s="18" t="s">
        <v>22</v>
      </c>
      <c r="D717" s="18"/>
      <c r="E717" s="18" t="s">
        <v>34</v>
      </c>
      <c r="F717" s="18" t="s">
        <v>33</v>
      </c>
      <c r="G717" s="18" t="s">
        <v>7</v>
      </c>
      <c r="H717" s="18" t="s">
        <v>32</v>
      </c>
      <c r="I717" s="19" t="s">
        <v>22</v>
      </c>
      <c r="J717" s="17" t="s">
        <v>31</v>
      </c>
      <c r="K717" s="18"/>
      <c r="L717" s="18" t="s">
        <v>30</v>
      </c>
      <c r="M717" s="18"/>
      <c r="N717" s="18" t="s">
        <v>29</v>
      </c>
      <c r="O717" s="18"/>
      <c r="P717" s="18" t="s">
        <v>28</v>
      </c>
      <c r="Q717" s="20" t="s">
        <v>27</v>
      </c>
      <c r="R717" s="21" t="s">
        <v>26</v>
      </c>
      <c r="S717" s="22" t="s">
        <v>7</v>
      </c>
      <c r="T717" s="23" t="s">
        <v>25</v>
      </c>
      <c r="U717" s="24" t="s">
        <v>24</v>
      </c>
      <c r="V717" s="25" t="s">
        <v>7</v>
      </c>
      <c r="W717" s="26" t="s">
        <v>23</v>
      </c>
      <c r="X717" s="4" t="s">
        <v>22</v>
      </c>
      <c r="Y717" s="4" t="s">
        <v>21</v>
      </c>
      <c r="Z717" s="5" t="s">
        <v>20</v>
      </c>
    </row>
    <row r="718" spans="1:31" ht="13.5" customHeight="1">
      <c r="B718" s="54" t="s">
        <v>3</v>
      </c>
      <c r="C718" s="28" t="s">
        <v>17</v>
      </c>
      <c r="D718" s="20" t="s">
        <v>13</v>
      </c>
      <c r="E718" s="20" t="s">
        <v>19</v>
      </c>
      <c r="F718" s="28" t="s">
        <v>19</v>
      </c>
      <c r="G718" s="20" t="s">
        <v>3</v>
      </c>
      <c r="H718" s="20" t="s">
        <v>19</v>
      </c>
      <c r="I718" s="29" t="s">
        <v>12</v>
      </c>
      <c r="J718" s="55" t="s">
        <v>18</v>
      </c>
      <c r="K718" s="20" t="s">
        <v>17</v>
      </c>
      <c r="L718" s="56" t="s">
        <v>16</v>
      </c>
      <c r="M718" s="20" t="s">
        <v>15</v>
      </c>
      <c r="N718" s="20" t="s">
        <v>14</v>
      </c>
      <c r="O718" s="20" t="s">
        <v>13</v>
      </c>
      <c r="P718" s="20" t="s">
        <v>12</v>
      </c>
      <c r="Q718" s="20" t="s">
        <v>11</v>
      </c>
      <c r="R718" s="21" t="s">
        <v>11</v>
      </c>
      <c r="S718" s="22" t="s">
        <v>10</v>
      </c>
      <c r="T718" s="23" t="s">
        <v>9</v>
      </c>
      <c r="U718" s="24" t="s">
        <v>9</v>
      </c>
      <c r="V718" s="33" t="s">
        <v>8</v>
      </c>
      <c r="W718" s="34" t="s">
        <v>7</v>
      </c>
      <c r="X718" s="4" t="s">
        <v>6</v>
      </c>
      <c r="Y718" s="6" t="s">
        <v>5</v>
      </c>
      <c r="Z718" s="7" t="s">
        <v>5</v>
      </c>
    </row>
    <row r="719" spans="1:31" ht="13.5" customHeight="1" thickBot="1">
      <c r="B719" s="57"/>
      <c r="C719" s="3">
        <f>C699</f>
        <v>1.05</v>
      </c>
      <c r="D719" s="37"/>
      <c r="E719" s="38"/>
      <c r="F719" s="38"/>
      <c r="G719" s="37"/>
      <c r="H719" s="37"/>
      <c r="I719" s="39"/>
      <c r="J719" s="58" t="s">
        <v>4</v>
      </c>
      <c r="K719" s="44"/>
      <c r="L719" s="59"/>
      <c r="M719" s="37"/>
      <c r="N719" s="37"/>
      <c r="O719" s="37"/>
      <c r="P719" s="37"/>
      <c r="Q719" s="42"/>
      <c r="R719" s="42"/>
      <c r="S719" s="52" t="s">
        <v>3</v>
      </c>
      <c r="T719" s="43"/>
      <c r="U719" s="44"/>
      <c r="V719" s="39" t="s">
        <v>3</v>
      </c>
      <c r="W719" s="45" t="s">
        <v>3</v>
      </c>
      <c r="X719" s="8" t="s">
        <v>2</v>
      </c>
      <c r="Y719" s="9" t="s">
        <v>1</v>
      </c>
      <c r="Z719" s="13" t="s">
        <v>0</v>
      </c>
    </row>
    <row r="720" spans="1:31" ht="13.5" customHeight="1">
      <c r="A720" s="1">
        <v>1</v>
      </c>
      <c r="B720" s="3">
        <f t="shared" ref="B720:B729" si="1049">B700</f>
        <v>1000</v>
      </c>
      <c r="C720" s="1">
        <f t="shared" ref="C720:C729" si="1050">IF(B720&lt;1,0.000001,C700*(1+AB700))</f>
        <v>4.4279174869753801E-2</v>
      </c>
      <c r="D720" s="1">
        <f t="shared" si="991"/>
        <v>0.89923115120985364</v>
      </c>
      <c r="E720" s="1">
        <f t="shared" ref="E720:E729" si="1051">R720</f>
        <v>73.213238017307049</v>
      </c>
      <c r="F720" s="1">
        <f t="shared" ref="F720:F729" si="1052">F700</f>
        <v>20</v>
      </c>
      <c r="G720" s="1">
        <f t="shared" ref="G720:G729" si="1053">(E720-F720)*C720*(1-D720)*4200</f>
        <v>997.22875601915132</v>
      </c>
      <c r="H720" s="1">
        <f t="shared" ref="H720:H729" si="1054">(E720-F720)*D720+F720</f>
        <v>67.851001281906974</v>
      </c>
      <c r="I720" s="1">
        <f t="shared" ref="I720:I729" si="1055">B720*0.001*6/C720</f>
        <v>135.50388004403572</v>
      </c>
      <c r="J720" s="3">
        <f t="shared" ref="J720:J729" si="1056">J700</f>
        <v>10</v>
      </c>
      <c r="K720" s="47">
        <f t="shared" ref="K720:K729" si="1057">K719+C720</f>
        <v>4.4279174869753801E-2</v>
      </c>
      <c r="L720" s="3">
        <f t="shared" ref="L720:L729" si="1058">L700</f>
        <v>3</v>
      </c>
      <c r="M720" s="47">
        <f t="shared" ref="M720:M729" si="1059">K720/(J720*J720*3.14/4000)</f>
        <v>0.56406592190769178</v>
      </c>
      <c r="N720" s="47">
        <f t="shared" ref="N720:N729" si="1060">L720*26400/J720^1.27*M720^1.83*$N$69</f>
        <v>1864.5277144168574</v>
      </c>
      <c r="O720" s="1">
        <f t="shared" ref="O720:O729" si="1061">EXP(-(J720+2)*3.14/1000*$O$66/(M720*J720*J720*3.14/4000*4200)*L720)</f>
        <v>0.9939401186919864</v>
      </c>
      <c r="P720" s="1">
        <f t="shared" ref="P720:P729" si="1062">L720/M720</f>
        <v>5.3185272917284019</v>
      </c>
      <c r="Q720" s="1">
        <f t="shared" ref="Q720:Q729" si="1063">R721</f>
        <v>73.537669942667222</v>
      </c>
      <c r="R720" s="1">
        <f t="shared" ref="R720:R729" si="1064">(Q720-F720)*O720+F720</f>
        <v>73.213238017307049</v>
      </c>
      <c r="S720" s="47">
        <f t="shared" ref="S720:S729" si="1065">K720*(1-O720)*4200*(Q720-F720)</f>
        <v>60.335427416686457</v>
      </c>
      <c r="T720" s="1">
        <f t="shared" ref="T720:T729" si="1066">(U719*K719+H720*C720)/K720</f>
        <v>67.851001281906974</v>
      </c>
      <c r="U720" s="47">
        <f t="shared" ref="U720:U729" si="1067">(T720-F720)*O720+F720</f>
        <v>67.561029893669001</v>
      </c>
      <c r="V720" s="47">
        <f t="shared" ref="V720:V729" si="1068">K720*(1-O720)*4200*(T720-F720)</f>
        <v>53.92671398945896</v>
      </c>
      <c r="W720" s="2">
        <f t="shared" si="992"/>
        <v>997.23875601915131</v>
      </c>
      <c r="X720" s="1">
        <f t="shared" ref="X720:X729" si="1069">C720*3600</f>
        <v>159.40502953111368</v>
      </c>
      <c r="Y720" s="1">
        <f t="shared" ref="Y720:Y729" si="1070">Y721-2*N720/1000</f>
        <v>5.9999999999999991</v>
      </c>
      <c r="Z720" s="2">
        <f t="shared" ref="Z720:Z729" si="1071">-1.1-1.8*LOG10(Y720/X720/X720)</f>
        <v>5.4283350216375617</v>
      </c>
      <c r="AA720" s="3">
        <f t="shared" ref="AA720:AA729" si="1072">AA700</f>
        <v>1000</v>
      </c>
      <c r="AB720" s="1">
        <f t="shared" ref="AB720:AB783" si="1073">((AA720/W720)-1)*AB$23+AC720+AD720</f>
        <v>2.7688895604811581E-3</v>
      </c>
      <c r="AC720" s="1">
        <f>((N732/N731)-1)*AB$24</f>
        <v>0</v>
      </c>
      <c r="AD720" s="64">
        <f t="shared" ref="AD720:AD783" si="1074">(AC$21-(X720/1000/SQRT(Y720/104))*1000/B720)*AB$21</f>
        <v>0</v>
      </c>
      <c r="AE720" s="1">
        <f t="shared" ref="AE720:AE730" si="1075">AE721</f>
        <v>18.608717172243988</v>
      </c>
    </row>
    <row r="721" spans="1:31" ht="13.5" customHeight="1">
      <c r="A721" s="1">
        <v>2</v>
      </c>
      <c r="B721" s="3">
        <f t="shared" si="1049"/>
        <v>1000</v>
      </c>
      <c r="C721" s="1">
        <f t="shared" si="1050"/>
        <v>3.8854819241063217E-2</v>
      </c>
      <c r="D721" s="1">
        <f t="shared" si="991"/>
        <v>0.88575214279284076</v>
      </c>
      <c r="E721" s="1">
        <f t="shared" si="1051"/>
        <v>73.537669942667222</v>
      </c>
      <c r="F721" s="1">
        <f t="shared" si="1052"/>
        <v>20</v>
      </c>
      <c r="G721" s="1">
        <f t="shared" si="1053"/>
        <v>998.1635636609891</v>
      </c>
      <c r="H721" s="1">
        <f t="shared" si="1054"/>
        <v>67.421105871853356</v>
      </c>
      <c r="I721" s="1">
        <f t="shared" si="1055"/>
        <v>154.42099891842958</v>
      </c>
      <c r="J721" s="3">
        <f t="shared" si="1056"/>
        <v>14.142135623730951</v>
      </c>
      <c r="K721" s="47">
        <f t="shared" si="1057"/>
        <v>8.3133994110817011E-2</v>
      </c>
      <c r="L721" s="3">
        <f t="shared" si="1058"/>
        <v>3</v>
      </c>
      <c r="M721" s="47">
        <f t="shared" si="1059"/>
        <v>0.52951588605615918</v>
      </c>
      <c r="N721" s="47">
        <f t="shared" si="1060"/>
        <v>1069.497333901762</v>
      </c>
      <c r="O721" s="1">
        <f t="shared" si="1061"/>
        <v>0.99565451120907456</v>
      </c>
      <c r="P721" s="1">
        <f t="shared" si="1062"/>
        <v>5.6655524017306389</v>
      </c>
      <c r="Q721" s="1">
        <f t="shared" si="1063"/>
        <v>73.771332666040621</v>
      </c>
      <c r="R721" s="1">
        <f t="shared" si="1064"/>
        <v>73.537669942667222</v>
      </c>
      <c r="S721" s="47">
        <f t="shared" si="1065"/>
        <v>81.586324969136101</v>
      </c>
      <c r="T721" s="1">
        <f t="shared" si="1066"/>
        <v>67.495632788269717</v>
      </c>
      <c r="U721" s="47">
        <f t="shared" si="1067"/>
        <v>67.289241048370371</v>
      </c>
      <c r="V721" s="47">
        <f t="shared" si="1068"/>
        <v>72.064312695113614</v>
      </c>
      <c r="W721" s="2">
        <f t="shared" si="992"/>
        <v>998.17356366098909</v>
      </c>
      <c r="X721" s="1">
        <f t="shared" si="1069"/>
        <v>139.87734926782758</v>
      </c>
      <c r="Y721" s="1">
        <f t="shared" si="1070"/>
        <v>9.7290554288337141</v>
      </c>
      <c r="Z721" s="2">
        <f t="shared" si="1071"/>
        <v>4.846163397345812</v>
      </c>
      <c r="AA721" s="3">
        <f t="shared" si="1072"/>
        <v>1000</v>
      </c>
      <c r="AB721" s="1">
        <f t="shared" si="1073"/>
        <v>1.8297783126133282E-3</v>
      </c>
      <c r="AC721" s="1">
        <f t="shared" ref="AC721:AC729" si="1076">AC720</f>
        <v>0</v>
      </c>
      <c r="AD721" s="64">
        <f t="shared" si="1074"/>
        <v>0</v>
      </c>
      <c r="AE721" s="1">
        <f t="shared" si="1075"/>
        <v>18.608717172243988</v>
      </c>
    </row>
    <row r="722" spans="1:31" ht="13.5" customHeight="1">
      <c r="A722" s="1">
        <v>3</v>
      </c>
      <c r="B722" s="3">
        <f t="shared" si="1049"/>
        <v>1000</v>
      </c>
      <c r="C722" s="1">
        <f t="shared" si="1050"/>
        <v>3.5638753737969285E-2</v>
      </c>
      <c r="D722" s="1">
        <f t="shared" si="991"/>
        <v>0.87591900275723122</v>
      </c>
      <c r="E722" s="1">
        <f t="shared" si="1051"/>
        <v>73.771332666040621</v>
      </c>
      <c r="F722" s="1">
        <f t="shared" si="1052"/>
        <v>20</v>
      </c>
      <c r="G722" s="1">
        <f t="shared" si="1053"/>
        <v>998.68349960403577</v>
      </c>
      <c r="H722" s="1">
        <f t="shared" si="1054"/>
        <v>67.099332085765639</v>
      </c>
      <c r="I722" s="1">
        <f t="shared" si="1055"/>
        <v>168.35605543657496</v>
      </c>
      <c r="J722" s="3">
        <f t="shared" si="1056"/>
        <v>17.320508075688775</v>
      </c>
      <c r="K722" s="47">
        <f t="shared" si="1057"/>
        <v>0.1187727478487863</v>
      </c>
      <c r="L722" s="3">
        <f t="shared" si="1058"/>
        <v>3</v>
      </c>
      <c r="M722" s="47">
        <f t="shared" si="1059"/>
        <v>0.50434287833879521</v>
      </c>
      <c r="N722" s="47">
        <f t="shared" si="1060"/>
        <v>756.225959212661</v>
      </c>
      <c r="O722" s="1">
        <f t="shared" si="1061"/>
        <v>0.9963582397567663</v>
      </c>
      <c r="P722" s="1">
        <f t="shared" si="1062"/>
        <v>5.9483342163597142</v>
      </c>
      <c r="Q722" s="1">
        <f t="shared" si="1063"/>
        <v>73.967870712011603</v>
      </c>
      <c r="R722" s="1">
        <f t="shared" si="1064"/>
        <v>73.771332666040621</v>
      </c>
      <c r="S722" s="47">
        <f t="shared" si="1065"/>
        <v>98.042127862578639</v>
      </c>
      <c r="T722" s="1">
        <f t="shared" si="1066"/>
        <v>67.232257280010302</v>
      </c>
      <c r="U722" s="47">
        <f t="shared" si="1067"/>
        <v>67.060248723249771</v>
      </c>
      <c r="V722" s="47">
        <f t="shared" si="1068"/>
        <v>85.805701547797341</v>
      </c>
      <c r="W722" s="2">
        <f t="shared" si="992"/>
        <v>998.69349960403576</v>
      </c>
      <c r="X722" s="1">
        <f t="shared" si="1069"/>
        <v>128.29951345668943</v>
      </c>
      <c r="Y722" s="1">
        <f t="shared" si="1070"/>
        <v>11.868050096637237</v>
      </c>
      <c r="Z722" s="2">
        <f t="shared" si="1071"/>
        <v>4.5557271663801462</v>
      </c>
      <c r="AA722" s="3">
        <f t="shared" si="1072"/>
        <v>1000</v>
      </c>
      <c r="AB722" s="1">
        <f t="shared" si="1073"/>
        <v>1.308209572288499E-3</v>
      </c>
      <c r="AC722" s="1">
        <f t="shared" si="1076"/>
        <v>0</v>
      </c>
      <c r="AD722" s="64">
        <f t="shared" si="1074"/>
        <v>0</v>
      </c>
      <c r="AE722" s="1">
        <f t="shared" si="1075"/>
        <v>18.608717172243988</v>
      </c>
    </row>
    <row r="723" spans="1:31" ht="13.5" customHeight="1">
      <c r="A723" s="1">
        <v>4</v>
      </c>
      <c r="B723" s="3">
        <f t="shared" si="1049"/>
        <v>1000</v>
      </c>
      <c r="C723" s="1">
        <f t="shared" si="1050"/>
        <v>3.3290737216962303E-2</v>
      </c>
      <c r="D723" s="1">
        <f t="shared" si="991"/>
        <v>0.86760398862203203</v>
      </c>
      <c r="E723" s="1">
        <f t="shared" si="1051"/>
        <v>73.967870712011603</v>
      </c>
      <c r="F723" s="1">
        <f t="shared" si="1052"/>
        <v>20</v>
      </c>
      <c r="G723" s="1">
        <f t="shared" si="1053"/>
        <v>999.04002521528366</v>
      </c>
      <c r="H723" s="1">
        <f t="shared" si="1054"/>
        <v>66.822739887179409</v>
      </c>
      <c r="I723" s="1">
        <f t="shared" si="1055"/>
        <v>180.23031334202111</v>
      </c>
      <c r="J723" s="3">
        <f t="shared" si="1056"/>
        <v>20</v>
      </c>
      <c r="K723" s="47">
        <f t="shared" si="1057"/>
        <v>0.1520634850657486</v>
      </c>
      <c r="L723" s="3">
        <f t="shared" si="1058"/>
        <v>3</v>
      </c>
      <c r="M723" s="47">
        <f t="shared" si="1059"/>
        <v>0.48427861485907198</v>
      </c>
      <c r="N723" s="47">
        <f t="shared" si="1060"/>
        <v>584.85941250521751</v>
      </c>
      <c r="O723" s="1">
        <f t="shared" si="1061"/>
        <v>0.99676037362384562</v>
      </c>
      <c r="P723" s="1">
        <f t="shared" si="1062"/>
        <v>6.1947810783943416</v>
      </c>
      <c r="Q723" s="1">
        <f t="shared" si="1063"/>
        <v>74.14327469279776</v>
      </c>
      <c r="R723" s="1">
        <f t="shared" si="1064"/>
        <v>73.967870712011603</v>
      </c>
      <c r="S723" s="47">
        <f t="shared" si="1065"/>
        <v>112.02467057354593</v>
      </c>
      <c r="T723" s="1">
        <f t="shared" si="1066"/>
        <v>67.008251728409718</v>
      </c>
      <c r="U723" s="47">
        <f t="shared" si="1067"/>
        <v>66.855962556213456</v>
      </c>
      <c r="V723" s="47">
        <f t="shared" si="1068"/>
        <v>97.262013500153586</v>
      </c>
      <c r="W723" s="2">
        <f t="shared" si="992"/>
        <v>999.05002521528365</v>
      </c>
      <c r="X723" s="1">
        <f t="shared" si="1069"/>
        <v>119.84665398106429</v>
      </c>
      <c r="Y723" s="1">
        <f t="shared" si="1070"/>
        <v>13.380502015062559</v>
      </c>
      <c r="Z723" s="2">
        <f t="shared" si="1071"/>
        <v>4.3554029542421819</v>
      </c>
      <c r="AA723" s="3">
        <f t="shared" si="1072"/>
        <v>1000</v>
      </c>
      <c r="AB723" s="1">
        <f t="shared" si="1073"/>
        <v>9.5087809492988562E-4</v>
      </c>
      <c r="AC723" s="1">
        <f t="shared" si="1076"/>
        <v>0</v>
      </c>
      <c r="AD723" s="64">
        <f t="shared" si="1074"/>
        <v>0</v>
      </c>
      <c r="AE723" s="1">
        <f t="shared" si="1075"/>
        <v>18.608717172243988</v>
      </c>
    </row>
    <row r="724" spans="1:31" ht="13.5" customHeight="1">
      <c r="A724" s="1">
        <v>5</v>
      </c>
      <c r="B724" s="3">
        <f t="shared" si="1049"/>
        <v>1000</v>
      </c>
      <c r="C724" s="1">
        <f t="shared" si="1050"/>
        <v>3.1426312730961581E-2</v>
      </c>
      <c r="D724" s="1">
        <f t="shared" si="991"/>
        <v>0.86016664999113301</v>
      </c>
      <c r="E724" s="1">
        <f t="shared" si="1051"/>
        <v>74.14327469279776</v>
      </c>
      <c r="F724" s="1">
        <f t="shared" si="1052"/>
        <v>20</v>
      </c>
      <c r="G724" s="1">
        <f t="shared" si="1053"/>
        <v>999.30486060331032</v>
      </c>
      <c r="H724" s="1">
        <f t="shared" si="1054"/>
        <v>66.572239212053546</v>
      </c>
      <c r="I724" s="1">
        <f t="shared" si="1055"/>
        <v>190.9228120831601</v>
      </c>
      <c r="J724" s="3">
        <f t="shared" si="1056"/>
        <v>22.360679774997898</v>
      </c>
      <c r="K724" s="47">
        <f t="shared" si="1057"/>
        <v>0.18348979779671018</v>
      </c>
      <c r="L724" s="3">
        <f t="shared" si="1058"/>
        <v>3</v>
      </c>
      <c r="M724" s="47">
        <f t="shared" si="1059"/>
        <v>0.46748993069225514</v>
      </c>
      <c r="N724" s="47">
        <f t="shared" si="1060"/>
        <v>475.85263603840554</v>
      </c>
      <c r="O724" s="1">
        <f t="shared" si="1061"/>
        <v>0.99702674158223115</v>
      </c>
      <c r="P724" s="1">
        <f t="shared" si="1062"/>
        <v>6.4172505182253348</v>
      </c>
      <c r="Q724" s="1">
        <f t="shared" si="1063"/>
        <v>74.304736708340556</v>
      </c>
      <c r="R724" s="1">
        <f t="shared" si="1064"/>
        <v>74.14327469279776</v>
      </c>
      <c r="S724" s="47">
        <f t="shared" si="1065"/>
        <v>124.43185685194614</v>
      </c>
      <c r="T724" s="1">
        <f t="shared" si="1066"/>
        <v>66.807369235768888</v>
      </c>
      <c r="U724" s="47">
        <f t="shared" si="1067"/>
        <v>66.668198831175033</v>
      </c>
      <c r="V724" s="47">
        <f t="shared" si="1068"/>
        <v>107.25266747250124</v>
      </c>
      <c r="W724" s="2">
        <f t="shared" si="992"/>
        <v>999.31486060331031</v>
      </c>
      <c r="X724" s="1">
        <f t="shared" si="1069"/>
        <v>113.13472583146169</v>
      </c>
      <c r="Y724" s="1">
        <f t="shared" si="1070"/>
        <v>14.550220840072994</v>
      </c>
      <c r="Z724" s="2">
        <f t="shared" si="1071"/>
        <v>4.1997800904277014</v>
      </c>
      <c r="AA724" s="3">
        <f t="shared" si="1072"/>
        <v>1000</v>
      </c>
      <c r="AB724" s="1">
        <f t="shared" si="1073"/>
        <v>6.8560913451842787E-4</v>
      </c>
      <c r="AC724" s="1">
        <f t="shared" si="1076"/>
        <v>0</v>
      </c>
      <c r="AD724" s="64">
        <f t="shared" si="1074"/>
        <v>0</v>
      </c>
      <c r="AE724" s="1">
        <f t="shared" si="1075"/>
        <v>18.608717172243988</v>
      </c>
    </row>
    <row r="725" spans="1:31" ht="13.5" customHeight="1">
      <c r="A725" s="1">
        <v>6</v>
      </c>
      <c r="B725" s="3">
        <f t="shared" si="1049"/>
        <v>1000</v>
      </c>
      <c r="C725" s="1">
        <f t="shared" si="1050"/>
        <v>2.9875995408992686E-2</v>
      </c>
      <c r="D725" s="1">
        <f t="shared" si="991"/>
        <v>0.85331770563690501</v>
      </c>
      <c r="E725" s="1">
        <f t="shared" si="1051"/>
        <v>74.304736708340556</v>
      </c>
      <c r="F725" s="1">
        <f t="shared" si="1052"/>
        <v>20</v>
      </c>
      <c r="G725" s="1">
        <f t="shared" si="1053"/>
        <v>999.50985668733051</v>
      </c>
      <c r="H725" s="1">
        <f t="shared" si="1054"/>
        <v>66.339193333177377</v>
      </c>
      <c r="I725" s="1">
        <f t="shared" si="1055"/>
        <v>200.83012859862731</v>
      </c>
      <c r="J725" s="3">
        <f t="shared" si="1056"/>
        <v>24.494897427831781</v>
      </c>
      <c r="K725" s="47">
        <f t="shared" si="1057"/>
        <v>0.21336579320570287</v>
      </c>
      <c r="L725" s="3">
        <f t="shared" si="1058"/>
        <v>3</v>
      </c>
      <c r="M725" s="47">
        <f t="shared" si="1059"/>
        <v>0.45300593037304221</v>
      </c>
      <c r="N725" s="47">
        <f t="shared" si="1060"/>
        <v>400.10986989545978</v>
      </c>
      <c r="O725" s="1">
        <f t="shared" si="1061"/>
        <v>0.99721878587536272</v>
      </c>
      <c r="P725" s="1">
        <f t="shared" si="1062"/>
        <v>6.6224298598686202</v>
      </c>
      <c r="Q725" s="1">
        <f t="shared" si="1063"/>
        <v>74.456191036023881</v>
      </c>
      <c r="R725" s="1">
        <f t="shared" si="1064"/>
        <v>74.304736708340556</v>
      </c>
      <c r="S725" s="47">
        <f t="shared" si="1065"/>
        <v>135.72372559448354</v>
      </c>
      <c r="T725" s="1">
        <f t="shared" si="1066"/>
        <v>66.622130684074079</v>
      </c>
      <c r="U725" s="47">
        <f t="shared" si="1067"/>
        <v>66.492464555694852</v>
      </c>
      <c r="V725" s="47">
        <f t="shared" si="1068"/>
        <v>116.19852860089864</v>
      </c>
      <c r="W725" s="2">
        <f t="shared" si="992"/>
        <v>999.5198566873305</v>
      </c>
      <c r="X725" s="1">
        <f t="shared" si="1069"/>
        <v>107.55358347237367</v>
      </c>
      <c r="Y725" s="1">
        <f t="shared" si="1070"/>
        <v>15.501926112149805</v>
      </c>
      <c r="Z725" s="2">
        <f t="shared" si="1071"/>
        <v>4.0711553926746689</v>
      </c>
      <c r="AA725" s="3">
        <f t="shared" si="1072"/>
        <v>1000</v>
      </c>
      <c r="AB725" s="1">
        <f t="shared" si="1073"/>
        <v>4.803739610144131E-4</v>
      </c>
      <c r="AC725" s="1">
        <f t="shared" si="1076"/>
        <v>0</v>
      </c>
      <c r="AD725" s="64">
        <f t="shared" si="1074"/>
        <v>0</v>
      </c>
      <c r="AE725" s="1">
        <f t="shared" si="1075"/>
        <v>18.608717172243988</v>
      </c>
    </row>
    <row r="726" spans="1:31" ht="13.5" customHeight="1">
      <c r="A726" s="1">
        <v>7</v>
      </c>
      <c r="B726" s="3">
        <f t="shared" si="1049"/>
        <v>1000</v>
      </c>
      <c r="C726" s="1">
        <f t="shared" si="1050"/>
        <v>2.8548393993726461E-2</v>
      </c>
      <c r="D726" s="1">
        <f t="shared" si="991"/>
        <v>0.84689849347006774</v>
      </c>
      <c r="E726" s="1">
        <f t="shared" si="1051"/>
        <v>74.456191036023881</v>
      </c>
      <c r="F726" s="1">
        <f t="shared" si="1052"/>
        <v>20</v>
      </c>
      <c r="G726" s="1">
        <f t="shared" si="1053"/>
        <v>999.672390116261</v>
      </c>
      <c r="H726" s="1">
        <f t="shared" si="1054"/>
        <v>66.118866148526834</v>
      </c>
      <c r="I726" s="1">
        <f t="shared" si="1055"/>
        <v>210.16944075097555</v>
      </c>
      <c r="J726" s="3">
        <f t="shared" si="1056"/>
        <v>26.457513110645905</v>
      </c>
      <c r="K726" s="47">
        <f t="shared" si="1057"/>
        <v>0.24191418719942934</v>
      </c>
      <c r="L726" s="3">
        <f t="shared" si="1058"/>
        <v>3</v>
      </c>
      <c r="M726" s="47">
        <f t="shared" si="1059"/>
        <v>0.44024419872507614</v>
      </c>
      <c r="N726" s="47">
        <f t="shared" si="1060"/>
        <v>344.31607873565844</v>
      </c>
      <c r="O726" s="1">
        <f t="shared" si="1061"/>
        <v>0.99736509823957009</v>
      </c>
      <c r="P726" s="1">
        <f t="shared" si="1062"/>
        <v>6.8143998460123747</v>
      </c>
      <c r="Q726" s="1">
        <f t="shared" si="1063"/>
        <v>74.600056821863376</v>
      </c>
      <c r="R726" s="1">
        <f t="shared" si="1064"/>
        <v>74.456191036023881</v>
      </c>
      <c r="S726" s="47">
        <f t="shared" si="1065"/>
        <v>146.17333351811408</v>
      </c>
      <c r="T726" s="1">
        <f t="shared" si="1066"/>
        <v>66.448376052053405</v>
      </c>
      <c r="U726" s="47">
        <f t="shared" si="1067"/>
        <v>66.325989144224735</v>
      </c>
      <c r="V726" s="47">
        <f t="shared" si="1068"/>
        <v>124.34994319113741</v>
      </c>
      <c r="W726" s="2">
        <f t="shared" si="992"/>
        <v>999.68239011626099</v>
      </c>
      <c r="X726" s="1">
        <f t="shared" si="1069"/>
        <v>102.77421837741525</v>
      </c>
      <c r="Y726" s="1">
        <f t="shared" si="1070"/>
        <v>16.302145851940725</v>
      </c>
      <c r="Z726" s="2">
        <f t="shared" si="1071"/>
        <v>3.9607424633325059</v>
      </c>
      <c r="AA726" s="3">
        <f t="shared" si="1072"/>
        <v>1000</v>
      </c>
      <c r="AB726" s="1">
        <f t="shared" si="1073"/>
        <v>3.1771079182663087E-4</v>
      </c>
      <c r="AC726" s="1">
        <f t="shared" si="1076"/>
        <v>0</v>
      </c>
      <c r="AD726" s="64">
        <f t="shared" si="1074"/>
        <v>0</v>
      </c>
      <c r="AE726" s="1">
        <f t="shared" si="1075"/>
        <v>18.608717172243988</v>
      </c>
    </row>
    <row r="727" spans="1:31" ht="13.5" customHeight="1">
      <c r="A727" s="1">
        <v>8</v>
      </c>
      <c r="B727" s="3">
        <f t="shared" si="1049"/>
        <v>1000</v>
      </c>
      <c r="C727" s="1">
        <f t="shared" si="1050"/>
        <v>2.7387965185772339E-2</v>
      </c>
      <c r="D727" s="1">
        <f t="shared" si="991"/>
        <v>0.84081125687319402</v>
      </c>
      <c r="E727" s="1">
        <f t="shared" si="1051"/>
        <v>74.600056821863376</v>
      </c>
      <c r="F727" s="1">
        <f t="shared" si="1052"/>
        <v>20</v>
      </c>
      <c r="G727" s="1">
        <f t="shared" si="1053"/>
        <v>999.80316216080371</v>
      </c>
      <c r="H727" s="1">
        <f t="shared" si="1054"/>
        <v>65.908342401738764</v>
      </c>
      <c r="I727" s="1">
        <f t="shared" si="1055"/>
        <v>219.07432550399602</v>
      </c>
      <c r="J727" s="3">
        <f t="shared" si="1056"/>
        <v>28.284271247461902</v>
      </c>
      <c r="K727" s="47">
        <f t="shared" si="1057"/>
        <v>0.26930215238520167</v>
      </c>
      <c r="L727" s="3">
        <f t="shared" si="1058"/>
        <v>3</v>
      </c>
      <c r="M727" s="47">
        <f t="shared" si="1059"/>
        <v>0.42882508341592612</v>
      </c>
      <c r="N727" s="47">
        <f t="shared" si="1060"/>
        <v>301.47116807736199</v>
      </c>
      <c r="O727" s="1">
        <f t="shared" si="1061"/>
        <v>0.99748098158495457</v>
      </c>
      <c r="P727" s="1">
        <f t="shared" si="1062"/>
        <v>6.9958594215213834</v>
      </c>
      <c r="Q727" s="1">
        <f t="shared" si="1063"/>
        <v>74.737942707545386</v>
      </c>
      <c r="R727" s="1">
        <f t="shared" si="1064"/>
        <v>74.600056821863376</v>
      </c>
      <c r="S727" s="47">
        <f t="shared" si="1065"/>
        <v>155.95845635035977</v>
      </c>
      <c r="T727" s="1">
        <f t="shared" si="1066"/>
        <v>66.283514569321241</v>
      </c>
      <c r="U727" s="47">
        <f t="shared" si="1067"/>
        <v>66.166925543808105</v>
      </c>
      <c r="V727" s="47">
        <f t="shared" si="1068"/>
        <v>131.87023716376748</v>
      </c>
      <c r="W727" s="2">
        <f t="shared" si="992"/>
        <v>999.8131621608037</v>
      </c>
      <c r="X727" s="1">
        <f t="shared" si="1069"/>
        <v>98.596674668780423</v>
      </c>
      <c r="Y727" s="1">
        <f t="shared" si="1070"/>
        <v>16.990778009412043</v>
      </c>
      <c r="Z727" s="2">
        <f t="shared" si="1071"/>
        <v>3.8635202861920104</v>
      </c>
      <c r="AA727" s="3">
        <f t="shared" si="1072"/>
        <v>1000</v>
      </c>
      <c r="AB727" s="1">
        <f t="shared" si="1073"/>
        <v>1.8687275409789983E-4</v>
      </c>
      <c r="AC727" s="1">
        <f t="shared" si="1076"/>
        <v>0</v>
      </c>
      <c r="AD727" s="64">
        <f t="shared" si="1074"/>
        <v>0</v>
      </c>
      <c r="AE727" s="1">
        <f t="shared" si="1075"/>
        <v>18.608717172243988</v>
      </c>
    </row>
    <row r="728" spans="1:31" ht="13.5" customHeight="1">
      <c r="A728" s="1">
        <v>9</v>
      </c>
      <c r="B728" s="3">
        <f t="shared" si="1049"/>
        <v>1000</v>
      </c>
      <c r="C728" s="1">
        <f t="shared" si="1050"/>
        <v>2.6358147616493955E-2</v>
      </c>
      <c r="D728" s="1">
        <f t="shared" si="991"/>
        <v>0.83499087316846432</v>
      </c>
      <c r="E728" s="1">
        <f t="shared" si="1051"/>
        <v>74.737942707545386</v>
      </c>
      <c r="F728" s="1">
        <f t="shared" si="1052"/>
        <v>20</v>
      </c>
      <c r="G728" s="1">
        <f t="shared" si="1053"/>
        <v>999.90931251232178</v>
      </c>
      <c r="H728" s="1">
        <f t="shared" si="1054"/>
        <v>65.705682576818703</v>
      </c>
      <c r="I728" s="1">
        <f t="shared" si="1055"/>
        <v>227.63359881350016</v>
      </c>
      <c r="J728" s="3">
        <f t="shared" si="1056"/>
        <v>30</v>
      </c>
      <c r="K728" s="47">
        <f t="shared" si="1057"/>
        <v>0.29566030000169563</v>
      </c>
      <c r="L728" s="3">
        <f t="shared" si="1058"/>
        <v>3</v>
      </c>
      <c r="M728" s="47">
        <f t="shared" si="1059"/>
        <v>0.41848591649213818</v>
      </c>
      <c r="N728" s="47">
        <f t="shared" si="1060"/>
        <v>267.52671154813208</v>
      </c>
      <c r="O728" s="1">
        <f t="shared" si="1061"/>
        <v>0.99757544768175455</v>
      </c>
      <c r="P728" s="1">
        <f t="shared" si="1062"/>
        <v>7.1687000249537887</v>
      </c>
      <c r="Q728" s="1">
        <f t="shared" si="1063"/>
        <v>74.870980269963326</v>
      </c>
      <c r="R728" s="1">
        <f t="shared" si="1064"/>
        <v>74.737942707545386</v>
      </c>
      <c r="S728" s="47">
        <f t="shared" si="1065"/>
        <v>165.20248758712648</v>
      </c>
      <c r="T728" s="1">
        <f t="shared" si="1066"/>
        <v>66.125805683580296</v>
      </c>
      <c r="U728" s="47">
        <f t="shared" si="1067"/>
        <v>66.01397125447923</v>
      </c>
      <c r="V728" s="47">
        <f t="shared" si="1068"/>
        <v>138.87300360586352</v>
      </c>
      <c r="W728" s="2">
        <f t="shared" si="992"/>
        <v>999.91931251232177</v>
      </c>
      <c r="X728" s="1">
        <f t="shared" si="1069"/>
        <v>94.889331419378237</v>
      </c>
      <c r="Y728" s="1">
        <f t="shared" si="1070"/>
        <v>17.593720345566766</v>
      </c>
      <c r="Z728" s="2">
        <f t="shared" si="1071"/>
        <v>3.776338759802377</v>
      </c>
      <c r="AA728" s="3">
        <f t="shared" si="1072"/>
        <v>1000</v>
      </c>
      <c r="AB728" s="1">
        <f t="shared" si="1073"/>
        <v>8.0693998674163936E-5</v>
      </c>
      <c r="AC728" s="1">
        <f t="shared" si="1076"/>
        <v>0</v>
      </c>
      <c r="AD728" s="64">
        <f t="shared" si="1074"/>
        <v>0</v>
      </c>
      <c r="AE728" s="1">
        <f t="shared" si="1075"/>
        <v>18.608717172243988</v>
      </c>
    </row>
    <row r="729" spans="1:31" ht="13.5" customHeight="1">
      <c r="A729" s="1">
        <v>10</v>
      </c>
      <c r="B729" s="3">
        <f t="shared" si="1049"/>
        <v>1000</v>
      </c>
      <c r="C729" s="1">
        <f t="shared" si="1050"/>
        <v>2.5433457692120326E-2</v>
      </c>
      <c r="D729" s="1">
        <f t="shared" si="991"/>
        <v>0.82939144848720237</v>
      </c>
      <c r="E729" s="1">
        <f t="shared" si="1051"/>
        <v>74.870980269963326</v>
      </c>
      <c r="F729" s="1">
        <f t="shared" si="1052"/>
        <v>20</v>
      </c>
      <c r="G729" s="1">
        <f t="shared" si="1053"/>
        <v>999.99588267308411</v>
      </c>
      <c r="H729" s="1">
        <f t="shared" si="1054"/>
        <v>65.509521806017588</v>
      </c>
      <c r="I729" s="1">
        <f t="shared" si="1055"/>
        <v>235.90972460889154</v>
      </c>
      <c r="J729" s="3">
        <f t="shared" si="1056"/>
        <v>31.622776601683793</v>
      </c>
      <c r="K729" s="47">
        <f t="shared" si="1057"/>
        <v>0.32109375769381598</v>
      </c>
      <c r="L729" s="3">
        <f t="shared" si="1058"/>
        <v>3</v>
      </c>
      <c r="M729" s="47">
        <f t="shared" si="1059"/>
        <v>0.40903663400486112</v>
      </c>
      <c r="N729" s="47">
        <f t="shared" si="1060"/>
        <v>239.97170179047845</v>
      </c>
      <c r="O729" s="1">
        <f t="shared" si="1061"/>
        <v>0.997654186726606</v>
      </c>
      <c r="P729" s="1">
        <f t="shared" si="1062"/>
        <v>7.3343063936037254</v>
      </c>
      <c r="Q729" s="1">
        <f t="shared" si="1063"/>
        <v>75</v>
      </c>
      <c r="R729" s="1">
        <f t="shared" si="1064"/>
        <v>74.870980269963326</v>
      </c>
      <c r="S729" s="47">
        <f t="shared" si="1065"/>
        <v>173.9952057232878</v>
      </c>
      <c r="T729" s="1">
        <f t="shared" si="1066"/>
        <v>65.97401440886064</v>
      </c>
      <c r="U729" s="47">
        <f t="shared" si="1067"/>
        <v>65.866167955629123</v>
      </c>
      <c r="V729" s="47">
        <f t="shared" si="1068"/>
        <v>145.44105627263826</v>
      </c>
      <c r="W729" s="2">
        <f t="shared" si="992"/>
        <v>1000.0058826730841</v>
      </c>
      <c r="X729" s="1">
        <f t="shared" si="1069"/>
        <v>91.560447691633172</v>
      </c>
      <c r="Y729" s="1">
        <f t="shared" si="1070"/>
        <v>18.128773768663031</v>
      </c>
      <c r="Z729" s="2">
        <f t="shared" si="1071"/>
        <v>3.6970852941907526</v>
      </c>
      <c r="AA729" s="3">
        <f t="shared" si="1072"/>
        <v>1000</v>
      </c>
      <c r="AB729" s="1">
        <f t="shared" si="1073"/>
        <v>-5.8826384784493868E-6</v>
      </c>
      <c r="AC729" s="1">
        <f t="shared" si="1076"/>
        <v>0</v>
      </c>
      <c r="AD729" s="64">
        <f t="shared" si="1074"/>
        <v>0</v>
      </c>
      <c r="AE729" s="1">
        <f t="shared" si="1075"/>
        <v>18.608717172243988</v>
      </c>
    </row>
    <row r="730" spans="1:31" ht="13.5" customHeight="1">
      <c r="K730" s="47"/>
      <c r="L730" s="47"/>
      <c r="M730" s="47"/>
      <c r="N730" s="47">
        <f>SUM(N720:N729)</f>
        <v>6304.3585861219944</v>
      </c>
      <c r="O730" s="2" t="s">
        <v>46</v>
      </c>
      <c r="P730" s="2"/>
      <c r="Q730" s="2"/>
      <c r="R730" s="49">
        <f>R710</f>
        <v>75</v>
      </c>
      <c r="S730" s="50" t="s">
        <v>45</v>
      </c>
      <c r="T730" s="2"/>
      <c r="U730" s="11">
        <f>U729</f>
        <v>65.866167955629123</v>
      </c>
      <c r="V730" s="47"/>
      <c r="W730" s="2"/>
      <c r="Y730" s="1">
        <f>N731</f>
        <v>18.608717172243988</v>
      </c>
      <c r="AE730" s="1">
        <f t="shared" si="1075"/>
        <v>18.608717172243988</v>
      </c>
    </row>
    <row r="731" spans="1:31" ht="13.5" customHeight="1">
      <c r="K731" s="47"/>
      <c r="L731" s="2" t="s">
        <v>44</v>
      </c>
      <c r="M731" s="2"/>
      <c r="N731" s="47">
        <f>N730*2/1000+Y731</f>
        <v>18.608717172243988</v>
      </c>
      <c r="O731" s="2" t="s">
        <v>1</v>
      </c>
      <c r="P731" s="1">
        <f>SUM(P720:P729)</f>
        <v>64.480141052398324</v>
      </c>
      <c r="Q731" s="1" t="s">
        <v>43</v>
      </c>
      <c r="S731" s="47"/>
      <c r="U731" s="47"/>
      <c r="V731" s="47"/>
      <c r="W731" s="2"/>
      <c r="Y731" s="3">
        <f>Y711</f>
        <v>6</v>
      </c>
      <c r="Z731" s="3" t="s">
        <v>42</v>
      </c>
      <c r="AE731" s="1">
        <f>N731</f>
        <v>18.608717172243988</v>
      </c>
    </row>
    <row r="732" spans="1:31" ht="13.5" customHeight="1">
      <c r="L732" s="60" t="s">
        <v>41</v>
      </c>
      <c r="N732" s="3">
        <f>N712</f>
        <v>15</v>
      </c>
      <c r="O732" s="1" t="s">
        <v>1</v>
      </c>
    </row>
    <row r="735" spans="1:31" ht="13.5" customHeight="1" thickBot="1"/>
    <row r="736" spans="1:31" ht="13.5" customHeight="1">
      <c r="B736" s="14" t="s">
        <v>40</v>
      </c>
      <c r="C736" s="15"/>
      <c r="D736" s="15"/>
      <c r="E736" s="15"/>
      <c r="F736" s="15"/>
      <c r="G736" s="15"/>
      <c r="H736" s="15" t="s">
        <v>39</v>
      </c>
      <c r="I736" s="16"/>
      <c r="J736" s="14" t="s">
        <v>38</v>
      </c>
      <c r="K736" s="15"/>
      <c r="L736" s="15"/>
      <c r="M736" s="15"/>
      <c r="N736" s="15" t="s">
        <v>37</v>
      </c>
      <c r="O736" s="15"/>
      <c r="P736" s="15"/>
      <c r="Q736" s="15"/>
      <c r="R736" s="15"/>
      <c r="S736" s="16"/>
      <c r="T736" s="14" t="s">
        <v>36</v>
      </c>
      <c r="U736" s="15"/>
      <c r="V736" s="16"/>
      <c r="W736" s="14"/>
      <c r="X736" s="15"/>
      <c r="Y736" s="15"/>
      <c r="Z736" s="16"/>
    </row>
    <row r="737" spans="1:31" ht="13.5" customHeight="1">
      <c r="B737" s="17" t="s">
        <v>35</v>
      </c>
      <c r="C737" s="18" t="s">
        <v>22</v>
      </c>
      <c r="D737" s="18"/>
      <c r="E737" s="18" t="s">
        <v>34</v>
      </c>
      <c r="F737" s="18" t="s">
        <v>33</v>
      </c>
      <c r="G737" s="18" t="s">
        <v>7</v>
      </c>
      <c r="H737" s="18" t="s">
        <v>32</v>
      </c>
      <c r="I737" s="19" t="s">
        <v>22</v>
      </c>
      <c r="J737" s="17" t="s">
        <v>31</v>
      </c>
      <c r="K737" s="18"/>
      <c r="L737" s="18" t="s">
        <v>30</v>
      </c>
      <c r="M737" s="18"/>
      <c r="N737" s="18" t="s">
        <v>29</v>
      </c>
      <c r="O737" s="18"/>
      <c r="P737" s="18" t="s">
        <v>28</v>
      </c>
      <c r="Q737" s="20" t="s">
        <v>27</v>
      </c>
      <c r="R737" s="21" t="s">
        <v>26</v>
      </c>
      <c r="S737" s="22" t="s">
        <v>7</v>
      </c>
      <c r="T737" s="23" t="s">
        <v>25</v>
      </c>
      <c r="U737" s="24" t="s">
        <v>24</v>
      </c>
      <c r="V737" s="25" t="s">
        <v>7</v>
      </c>
      <c r="W737" s="26" t="s">
        <v>23</v>
      </c>
      <c r="X737" s="4" t="s">
        <v>22</v>
      </c>
      <c r="Y737" s="4" t="s">
        <v>21</v>
      </c>
      <c r="Z737" s="5" t="s">
        <v>20</v>
      </c>
    </row>
    <row r="738" spans="1:31" ht="13.5" customHeight="1">
      <c r="B738" s="54" t="s">
        <v>3</v>
      </c>
      <c r="C738" s="28" t="s">
        <v>17</v>
      </c>
      <c r="D738" s="20" t="s">
        <v>13</v>
      </c>
      <c r="E738" s="20" t="s">
        <v>19</v>
      </c>
      <c r="F738" s="28" t="s">
        <v>19</v>
      </c>
      <c r="G738" s="20" t="s">
        <v>3</v>
      </c>
      <c r="H738" s="20" t="s">
        <v>19</v>
      </c>
      <c r="I738" s="29" t="s">
        <v>12</v>
      </c>
      <c r="J738" s="55" t="s">
        <v>18</v>
      </c>
      <c r="K738" s="20" t="s">
        <v>17</v>
      </c>
      <c r="L738" s="56" t="s">
        <v>16</v>
      </c>
      <c r="M738" s="20" t="s">
        <v>15</v>
      </c>
      <c r="N738" s="20" t="s">
        <v>14</v>
      </c>
      <c r="O738" s="20" t="s">
        <v>13</v>
      </c>
      <c r="P738" s="20" t="s">
        <v>12</v>
      </c>
      <c r="Q738" s="20" t="s">
        <v>11</v>
      </c>
      <c r="R738" s="21" t="s">
        <v>11</v>
      </c>
      <c r="S738" s="22" t="s">
        <v>10</v>
      </c>
      <c r="T738" s="23" t="s">
        <v>9</v>
      </c>
      <c r="U738" s="24" t="s">
        <v>9</v>
      </c>
      <c r="V738" s="33" t="s">
        <v>8</v>
      </c>
      <c r="W738" s="34" t="s">
        <v>7</v>
      </c>
      <c r="X738" s="4" t="s">
        <v>6</v>
      </c>
      <c r="Y738" s="6" t="s">
        <v>5</v>
      </c>
      <c r="Z738" s="7" t="s">
        <v>5</v>
      </c>
    </row>
    <row r="739" spans="1:31" ht="13.5" customHeight="1" thickBot="1">
      <c r="B739" s="57"/>
      <c r="C739" s="3">
        <f>C719</f>
        <v>1.05</v>
      </c>
      <c r="D739" s="37"/>
      <c r="E739" s="38"/>
      <c r="F739" s="38"/>
      <c r="G739" s="37"/>
      <c r="H739" s="37"/>
      <c r="I739" s="39"/>
      <c r="J739" s="58" t="s">
        <v>4</v>
      </c>
      <c r="K739" s="44"/>
      <c r="L739" s="59"/>
      <c r="M739" s="37"/>
      <c r="N739" s="37"/>
      <c r="O739" s="37"/>
      <c r="P739" s="37"/>
      <c r="Q739" s="42"/>
      <c r="R739" s="42"/>
      <c r="S739" s="52" t="s">
        <v>3</v>
      </c>
      <c r="T739" s="43"/>
      <c r="U739" s="44"/>
      <c r="V739" s="39" t="s">
        <v>3</v>
      </c>
      <c r="W739" s="45" t="s">
        <v>3</v>
      </c>
      <c r="X739" s="8" t="s">
        <v>2</v>
      </c>
      <c r="Y739" s="9" t="s">
        <v>1</v>
      </c>
      <c r="Z739" s="13" t="s">
        <v>0</v>
      </c>
    </row>
    <row r="740" spans="1:31" ht="13.5" customHeight="1">
      <c r="A740" s="1">
        <v>1</v>
      </c>
      <c r="B740" s="3">
        <f t="shared" ref="B740:B749" si="1077">B720</f>
        <v>1000</v>
      </c>
      <c r="C740" s="1">
        <f t="shared" ref="C740:C749" si="1078">IF(B740&lt;1,0.000001,C720*(1+AB720))</f>
        <v>4.4401779014797381E-2</v>
      </c>
      <c r="D740" s="1">
        <f t="shared" ref="D740:D803" si="1079">EXP((1+(E740-F740-55)/55*$B$18)*B740/C740/-210000)</f>
        <v>0.89949278207682359</v>
      </c>
      <c r="E740" s="1">
        <f t="shared" ref="E740:E749" si="1080">R740</f>
        <v>73.216448353875009</v>
      </c>
      <c r="F740" s="1">
        <f t="shared" ref="F740:F749" si="1081">F720</f>
        <v>20</v>
      </c>
      <c r="G740" s="1">
        <f t="shared" ref="G740:G749" si="1082">(E740-F740)*C740*(1-D740)*4200</f>
        <v>997.45382407696729</v>
      </c>
      <c r="H740" s="1">
        <f t="shared" ref="H740:H749" si="1083">(E740-F740)*D740+F740</f>
        <v>67.867811182074632</v>
      </c>
      <c r="I740" s="1">
        <f t="shared" ref="I740:I749" si="1084">B740*0.001*6/C740</f>
        <v>135.1297207708825</v>
      </c>
      <c r="J740" s="3">
        <f t="shared" ref="J740:J749" si="1085">J720</f>
        <v>10</v>
      </c>
      <c r="K740" s="47">
        <f t="shared" ref="K740:K749" si="1086">K739+C740</f>
        <v>4.4401779014797381E-2</v>
      </c>
      <c r="L740" s="3">
        <f t="shared" ref="L740:L749" si="1087">L720</f>
        <v>3</v>
      </c>
      <c r="M740" s="47">
        <f t="shared" ref="M740:M749" si="1088">K740/(J740*J740*3.14/4000)</f>
        <v>0.5656277581502851</v>
      </c>
      <c r="N740" s="47">
        <f t="shared" ref="N740:N749" si="1089">L740*26400/J740^1.27*M740^1.83*$N$69</f>
        <v>1873.9862574737188</v>
      </c>
      <c r="O740" s="1">
        <f t="shared" ref="O740:O749" si="1090">EXP(-(J740+2)*3.14/1000*$O$66/(M740*J740*J740*3.14/4000*4200)*L740)</f>
        <v>0.99395680084062066</v>
      </c>
      <c r="P740" s="1">
        <f t="shared" ref="P740:P749" si="1091">L740/M740</f>
        <v>5.3038415402571379</v>
      </c>
      <c r="Q740" s="1">
        <f t="shared" ref="Q740:Q749" si="1092">R741</f>
        <v>73.540001244388264</v>
      </c>
      <c r="R740" s="1">
        <f t="shared" ref="R740:R749" si="1093">(Q740-F740)*O740+F740</f>
        <v>73.216448353875009</v>
      </c>
      <c r="S740" s="47">
        <f t="shared" ref="S740:S749" si="1094">K740*(1-O740)*4200*(Q740-F740)</f>
        <v>60.338560565507827</v>
      </c>
      <c r="T740" s="1">
        <f t="shared" ref="T740:T749" si="1095">(U739*K739+H740*C740)/K740</f>
        <v>67.867811182074632</v>
      </c>
      <c r="U740" s="47">
        <f t="shared" ref="U740:U749" si="1096">(T740-F740)*O740+F740</f>
        <v>67.578536465777788</v>
      </c>
      <c r="V740" s="47">
        <f t="shared" ref="V740:V749" si="1097">K740*(1-O740)*4200*(T740-F740)</f>
        <v>53.946110515838555</v>
      </c>
      <c r="W740" s="2">
        <f t="shared" ref="W740:W803" si="1098">G740+(S740+V740)*$AB$22+0.01</f>
        <v>997.46382407696728</v>
      </c>
      <c r="X740" s="1">
        <f t="shared" ref="X740:X749" si="1099">C740*3600</f>
        <v>159.84640445327057</v>
      </c>
      <c r="Y740" s="1">
        <f t="shared" ref="Y740:Y749" si="1100">Y741-2*N740/1000</f>
        <v>6.0000000000000044</v>
      </c>
      <c r="Z740" s="2">
        <f t="shared" ref="Z740:Z749" si="1101">-1.1-1.8*LOG10(Y740/X740/X740)</f>
        <v>5.4326580877949748</v>
      </c>
      <c r="AA740" s="3">
        <f t="shared" ref="AA740:AA749" si="1102">AA720</f>
        <v>1000</v>
      </c>
      <c r="AB740" s="1">
        <f t="shared" ref="AB740" si="1103">((AA740/W740)-1)*AB$23+AC740+AD740</f>
        <v>2.5426244659847441E-3</v>
      </c>
      <c r="AC740" s="1">
        <f>((N752/N751)-1)*AB$24</f>
        <v>0</v>
      </c>
      <c r="AD740" s="64">
        <f t="shared" ref="AD740" si="1104">(AC$21-(X740/1000/SQRT(Y740/104))*1000/B740)*AB$21</f>
        <v>0</v>
      </c>
      <c r="AE740" s="1">
        <f t="shared" ref="AE740:AE750" si="1105">AE741</f>
        <v>18.656035108354583</v>
      </c>
    </row>
    <row r="741" spans="1:31" ht="13.5" customHeight="1">
      <c r="A741" s="1">
        <v>2</v>
      </c>
      <c r="B741" s="3">
        <f t="shared" si="1077"/>
        <v>1000</v>
      </c>
      <c r="C741" s="1">
        <f t="shared" si="1078"/>
        <v>3.8925914946651027E-2</v>
      </c>
      <c r="D741" s="1">
        <f t="shared" si="1079"/>
        <v>0.88594668363652573</v>
      </c>
      <c r="E741" s="1">
        <f t="shared" si="1080"/>
        <v>73.540001244388264</v>
      </c>
      <c r="F741" s="1">
        <f t="shared" si="1081"/>
        <v>20</v>
      </c>
      <c r="G741" s="1">
        <f t="shared" si="1082"/>
        <v>998.33067281737169</v>
      </c>
      <c r="H741" s="1">
        <f t="shared" si="1083"/>
        <v>67.433586544361248</v>
      </c>
      <c r="I741" s="1">
        <f t="shared" si="1084"/>
        <v>154.13895879449859</v>
      </c>
      <c r="J741" s="3">
        <f t="shared" si="1085"/>
        <v>14.142135623730951</v>
      </c>
      <c r="K741" s="47">
        <f t="shared" si="1086"/>
        <v>8.3327693961448401E-2</v>
      </c>
      <c r="L741" s="3">
        <f t="shared" si="1087"/>
        <v>3</v>
      </c>
      <c r="M741" s="47">
        <f t="shared" si="1088"/>
        <v>0.53074964306655026</v>
      </c>
      <c r="N741" s="47">
        <f t="shared" si="1089"/>
        <v>1074.0619169510821</v>
      </c>
      <c r="O741" s="1">
        <f t="shared" si="1090"/>
        <v>0.99566459061056334</v>
      </c>
      <c r="P741" s="1">
        <f t="shared" si="1091"/>
        <v>5.6523825106441619</v>
      </c>
      <c r="Q741" s="1">
        <f t="shared" si="1092"/>
        <v>73.773129776119049</v>
      </c>
      <c r="R741" s="1">
        <f t="shared" si="1093"/>
        <v>73.540001244388264</v>
      </c>
      <c r="S741" s="47">
        <f t="shared" si="1094"/>
        <v>81.589464372126784</v>
      </c>
      <c r="T741" s="1">
        <f t="shared" si="1095"/>
        <v>67.510824183769913</v>
      </c>
      <c r="U741" s="47">
        <f t="shared" si="1096"/>
        <v>67.304845310503723</v>
      </c>
      <c r="V741" s="47">
        <f t="shared" si="1097"/>
        <v>72.087726959006176</v>
      </c>
      <c r="W741" s="2">
        <f t="shared" si="1098"/>
        <v>998.34067281737168</v>
      </c>
      <c r="X741" s="1">
        <f t="shared" si="1099"/>
        <v>140.13329380794369</v>
      </c>
      <c r="Y741" s="1">
        <f t="shared" si="1100"/>
        <v>9.7479725149474419</v>
      </c>
      <c r="Z741" s="2">
        <f t="shared" si="1101"/>
        <v>4.8475030557224539</v>
      </c>
      <c r="AA741" s="3">
        <f t="shared" si="1102"/>
        <v>1000</v>
      </c>
      <c r="AB741" s="1">
        <f t="shared" si="1073"/>
        <v>1.6620851256572422E-3</v>
      </c>
      <c r="AC741" s="1">
        <f t="shared" ref="AC741:AC749" si="1106">AC740</f>
        <v>0</v>
      </c>
      <c r="AD741" s="64">
        <f t="shared" si="1074"/>
        <v>0</v>
      </c>
      <c r="AE741" s="1">
        <f t="shared" si="1105"/>
        <v>18.656035108354583</v>
      </c>
    </row>
    <row r="742" spans="1:31" ht="13.5" customHeight="1">
      <c r="A742" s="1">
        <v>3</v>
      </c>
      <c r="B742" s="3">
        <f t="shared" si="1077"/>
        <v>1000</v>
      </c>
      <c r="C742" s="1">
        <f t="shared" si="1078"/>
        <v>3.5685376696753729E-2</v>
      </c>
      <c r="D742" s="1">
        <f t="shared" si="1079"/>
        <v>0.87606917483862401</v>
      </c>
      <c r="E742" s="1">
        <f t="shared" si="1080"/>
        <v>73.773129776119049</v>
      </c>
      <c r="F742" s="1">
        <f t="shared" si="1081"/>
        <v>20</v>
      </c>
      <c r="G742" s="1">
        <f t="shared" si="1082"/>
        <v>998.81310497803577</v>
      </c>
      <c r="H742" s="1">
        <f t="shared" si="1083"/>
        <v>67.108981431454851</v>
      </c>
      <c r="I742" s="1">
        <f t="shared" si="1084"/>
        <v>168.13609818348408</v>
      </c>
      <c r="J742" s="3">
        <f t="shared" si="1085"/>
        <v>17.320508075688775</v>
      </c>
      <c r="K742" s="47">
        <f t="shared" si="1086"/>
        <v>0.11901307065820213</v>
      </c>
      <c r="L742" s="3">
        <f t="shared" si="1087"/>
        <v>3</v>
      </c>
      <c r="M742" s="47">
        <f t="shared" si="1088"/>
        <v>0.5053633573596692</v>
      </c>
      <c r="N742" s="47">
        <f t="shared" si="1089"/>
        <v>759.02845741995884</v>
      </c>
      <c r="O742" s="1">
        <f t="shared" si="1090"/>
        <v>0.99636558017490062</v>
      </c>
      <c r="P742" s="1">
        <f t="shared" si="1091"/>
        <v>5.9363227592792951</v>
      </c>
      <c r="Q742" s="1">
        <f t="shared" si="1092"/>
        <v>73.969276785614966</v>
      </c>
      <c r="R742" s="1">
        <f t="shared" si="1093"/>
        <v>73.773129776119049</v>
      </c>
      <c r="S742" s="47">
        <f t="shared" si="1094"/>
        <v>98.045043182235801</v>
      </c>
      <c r="T742" s="1">
        <f t="shared" si="1095"/>
        <v>67.246116666107852</v>
      </c>
      <c r="U742" s="47">
        <f t="shared" si="1096"/>
        <v>67.074404443037594</v>
      </c>
      <c r="V742" s="47">
        <f t="shared" si="1097"/>
        <v>85.831195535979091</v>
      </c>
      <c r="W742" s="2">
        <f t="shared" si="1098"/>
        <v>998.82310497803576</v>
      </c>
      <c r="X742" s="1">
        <f t="shared" si="1099"/>
        <v>128.46735610831342</v>
      </c>
      <c r="Y742" s="1">
        <f t="shared" si="1100"/>
        <v>11.896096348849607</v>
      </c>
      <c r="Z742" s="2">
        <f t="shared" si="1101"/>
        <v>4.5559259794152389</v>
      </c>
      <c r="AA742" s="3">
        <f t="shared" si="1102"/>
        <v>1000</v>
      </c>
      <c r="AB742" s="1">
        <f t="shared" si="1073"/>
        <v>1.178281735873643E-3</v>
      </c>
      <c r="AC742" s="1">
        <f t="shared" si="1106"/>
        <v>0</v>
      </c>
      <c r="AD742" s="64">
        <f t="shared" si="1074"/>
        <v>0</v>
      </c>
      <c r="AE742" s="1">
        <f t="shared" si="1105"/>
        <v>18.656035108354583</v>
      </c>
    </row>
    <row r="743" spans="1:31" ht="13.5" customHeight="1">
      <c r="A743" s="1">
        <v>4</v>
      </c>
      <c r="B743" s="3">
        <f t="shared" si="1077"/>
        <v>1000</v>
      </c>
      <c r="C743" s="1">
        <f t="shared" si="1078"/>
        <v>3.3322392649745979E-2</v>
      </c>
      <c r="D743" s="1">
        <f t="shared" si="1079"/>
        <v>0.86771984496491372</v>
      </c>
      <c r="E743" s="1">
        <f t="shared" si="1080"/>
        <v>73.969276785614966</v>
      </c>
      <c r="F743" s="1">
        <f t="shared" si="1081"/>
        <v>20</v>
      </c>
      <c r="G743" s="1">
        <f t="shared" si="1082"/>
        <v>999.1409558233654</v>
      </c>
      <c r="H743" s="1">
        <f t="shared" si="1083"/>
        <v>66.830212485282345</v>
      </c>
      <c r="I743" s="1">
        <f t="shared" si="1084"/>
        <v>180.05909908890467</v>
      </c>
      <c r="J743" s="3">
        <f t="shared" si="1085"/>
        <v>20</v>
      </c>
      <c r="K743" s="47">
        <f t="shared" si="1086"/>
        <v>0.15233546330794812</v>
      </c>
      <c r="L743" s="3">
        <f t="shared" si="1087"/>
        <v>3</v>
      </c>
      <c r="M743" s="47">
        <f t="shared" si="1088"/>
        <v>0.48514478760493029</v>
      </c>
      <c r="N743" s="47">
        <f t="shared" si="1089"/>
        <v>586.77514120058493</v>
      </c>
      <c r="O743" s="1">
        <f t="shared" si="1090"/>
        <v>0.99676614825860443</v>
      </c>
      <c r="P743" s="1">
        <f t="shared" si="1091"/>
        <v>6.1837209770106831</v>
      </c>
      <c r="Q743" s="1">
        <f t="shared" si="1092"/>
        <v>74.144371656182074</v>
      </c>
      <c r="R743" s="1">
        <f t="shared" si="1093"/>
        <v>73.969276785614966</v>
      </c>
      <c r="S743" s="47">
        <f t="shared" si="1094"/>
        <v>112.02726456888281</v>
      </c>
      <c r="T743" s="1">
        <f t="shared" si="1095"/>
        <v>67.020989039155026</v>
      </c>
      <c r="U743" s="47">
        <f t="shared" si="1096"/>
        <v>66.868930131868609</v>
      </c>
      <c r="V743" s="47">
        <f t="shared" si="1097"/>
        <v>97.288649184619601</v>
      </c>
      <c r="W743" s="2">
        <f t="shared" si="1098"/>
        <v>999.15095582336539</v>
      </c>
      <c r="X743" s="1">
        <f t="shared" si="1099"/>
        <v>119.96061353908553</v>
      </c>
      <c r="Y743" s="1">
        <f t="shared" si="1100"/>
        <v>13.414153263689524</v>
      </c>
      <c r="Z743" s="2">
        <f t="shared" si="1101"/>
        <v>4.3549253665264978</v>
      </c>
      <c r="AA743" s="3">
        <f t="shared" si="1102"/>
        <v>1000</v>
      </c>
      <c r="AB743" s="1">
        <f t="shared" si="1073"/>
        <v>8.4976566522421138E-4</v>
      </c>
      <c r="AC743" s="1">
        <f t="shared" si="1106"/>
        <v>0</v>
      </c>
      <c r="AD743" s="64">
        <f t="shared" si="1074"/>
        <v>0</v>
      </c>
      <c r="AE743" s="1">
        <f t="shared" si="1105"/>
        <v>18.656035108354583</v>
      </c>
    </row>
    <row r="744" spans="1:31" ht="13.5" customHeight="1">
      <c r="A744" s="1">
        <v>5</v>
      </c>
      <c r="B744" s="3">
        <f t="shared" si="1077"/>
        <v>1000</v>
      </c>
      <c r="C744" s="1">
        <f t="shared" si="1078"/>
        <v>3.1447858898034163E-2</v>
      </c>
      <c r="D744" s="1">
        <f t="shared" si="1079"/>
        <v>0.86025443819219427</v>
      </c>
      <c r="E744" s="1">
        <f t="shared" si="1080"/>
        <v>74.144371656182074</v>
      </c>
      <c r="F744" s="1">
        <f t="shared" si="1081"/>
        <v>20</v>
      </c>
      <c r="G744" s="1">
        <f t="shared" si="1082"/>
        <v>999.38244099306542</v>
      </c>
      <c r="H744" s="1">
        <f t="shared" si="1083"/>
        <v>66.57793602035828</v>
      </c>
      <c r="I744" s="1">
        <f t="shared" si="1084"/>
        <v>190.79200334287515</v>
      </c>
      <c r="J744" s="3">
        <f t="shared" si="1085"/>
        <v>22.360679774997898</v>
      </c>
      <c r="K744" s="47">
        <f t="shared" si="1086"/>
        <v>0.18378332220598229</v>
      </c>
      <c r="L744" s="3">
        <f t="shared" si="1087"/>
        <v>3</v>
      </c>
      <c r="M744" s="47">
        <f t="shared" si="1088"/>
        <v>0.46823776358212038</v>
      </c>
      <c r="N744" s="47">
        <f t="shared" si="1089"/>
        <v>477.24657597660791</v>
      </c>
      <c r="O744" s="1">
        <f t="shared" si="1090"/>
        <v>0.99703148318379609</v>
      </c>
      <c r="P744" s="1">
        <f t="shared" si="1091"/>
        <v>6.4070013854699583</v>
      </c>
      <c r="Q744" s="1">
        <f t="shared" si="1092"/>
        <v>74.305578679706457</v>
      </c>
      <c r="R744" s="1">
        <f t="shared" si="1093"/>
        <v>74.144371656182074</v>
      </c>
      <c r="S744" s="47">
        <f t="shared" si="1094"/>
        <v>124.43408185425403</v>
      </c>
      <c r="T744" s="1">
        <f t="shared" si="1095"/>
        <v>66.819137029594188</v>
      </c>
      <c r="U744" s="47">
        <f t="shared" si="1096"/>
        <v>66.680153634001684</v>
      </c>
      <c r="V744" s="47">
        <f t="shared" si="1097"/>
        <v>107.27988672852773</v>
      </c>
      <c r="W744" s="2">
        <f t="shared" si="1098"/>
        <v>999.39244099306541</v>
      </c>
      <c r="X744" s="1">
        <f t="shared" si="1099"/>
        <v>113.21229203292299</v>
      </c>
      <c r="Y744" s="1">
        <f t="shared" si="1100"/>
        <v>14.587703546090694</v>
      </c>
      <c r="Z744" s="2">
        <f t="shared" si="1101"/>
        <v>4.1988404266243009</v>
      </c>
      <c r="AA744" s="3">
        <f t="shared" si="1102"/>
        <v>1000</v>
      </c>
      <c r="AB744" s="1">
        <f t="shared" si="1073"/>
        <v>6.0792835928480393E-4</v>
      </c>
      <c r="AC744" s="1">
        <f t="shared" si="1106"/>
        <v>0</v>
      </c>
      <c r="AD744" s="64">
        <f t="shared" si="1074"/>
        <v>0</v>
      </c>
      <c r="AE744" s="1">
        <f t="shared" si="1105"/>
        <v>18.656035108354583</v>
      </c>
    </row>
    <row r="745" spans="1:31" ht="13.5" customHeight="1">
      <c r="A745" s="1">
        <v>6</v>
      </c>
      <c r="B745" s="3">
        <f t="shared" si="1077"/>
        <v>1000</v>
      </c>
      <c r="C745" s="1">
        <f t="shared" si="1078"/>
        <v>2.9890347059246553E-2</v>
      </c>
      <c r="D745" s="1">
        <f t="shared" si="1079"/>
        <v>0.85338190756010035</v>
      </c>
      <c r="E745" s="1">
        <f t="shared" si="1080"/>
        <v>74.305578679706457</v>
      </c>
      <c r="F745" s="1">
        <f t="shared" si="1081"/>
        <v>20</v>
      </c>
      <c r="G745" s="1">
        <f t="shared" si="1082"/>
        <v>999.56780345176969</v>
      </c>
      <c r="H745" s="1">
        <f t="shared" si="1083"/>
        <v>66.343398324843008</v>
      </c>
      <c r="I745" s="1">
        <f t="shared" si="1084"/>
        <v>200.73370135539813</v>
      </c>
      <c r="J745" s="3">
        <f t="shared" si="1085"/>
        <v>24.494897427831781</v>
      </c>
      <c r="K745" s="47">
        <f t="shared" si="1086"/>
        <v>0.21367366926522885</v>
      </c>
      <c r="L745" s="3">
        <f t="shared" si="1087"/>
        <v>3</v>
      </c>
      <c r="M745" s="47">
        <f t="shared" si="1088"/>
        <v>0.45365959504294873</v>
      </c>
      <c r="N745" s="47">
        <f t="shared" si="1089"/>
        <v>401.16703165747731</v>
      </c>
      <c r="O745" s="1">
        <f t="shared" si="1090"/>
        <v>0.99722278767457617</v>
      </c>
      <c r="P745" s="1">
        <f t="shared" si="1091"/>
        <v>6.6128877968865289</v>
      </c>
      <c r="Q745" s="1">
        <f t="shared" si="1092"/>
        <v>74.456816822589502</v>
      </c>
      <c r="R745" s="1">
        <f t="shared" si="1093"/>
        <v>74.305578679706457</v>
      </c>
      <c r="S745" s="47">
        <f t="shared" si="1094"/>
        <v>135.72555747525095</v>
      </c>
      <c r="T745" s="1">
        <f t="shared" si="1095"/>
        <v>66.633045662769604</v>
      </c>
      <c r="U745" s="47">
        <f t="shared" si="1096"/>
        <v>66.503535793582898</v>
      </c>
      <c r="V745" s="47">
        <f t="shared" si="1097"/>
        <v>116.22596561176069</v>
      </c>
      <c r="W745" s="2">
        <f t="shared" si="1098"/>
        <v>999.57780345176968</v>
      </c>
      <c r="X745" s="1">
        <f t="shared" si="1099"/>
        <v>107.60524941328759</v>
      </c>
      <c r="Y745" s="1">
        <f t="shared" si="1100"/>
        <v>15.542196698043909</v>
      </c>
      <c r="Z745" s="2">
        <f t="shared" si="1101"/>
        <v>4.0698781287108545</v>
      </c>
      <c r="AA745" s="3">
        <f t="shared" si="1102"/>
        <v>1000</v>
      </c>
      <c r="AB745" s="1">
        <f t="shared" si="1073"/>
        <v>4.2237487344398694E-4</v>
      </c>
      <c r="AC745" s="1">
        <f t="shared" si="1106"/>
        <v>0</v>
      </c>
      <c r="AD745" s="64">
        <f t="shared" si="1074"/>
        <v>0</v>
      </c>
      <c r="AE745" s="1">
        <f t="shared" si="1105"/>
        <v>18.656035108354583</v>
      </c>
    </row>
    <row r="746" spans="1:31" ht="13.5" customHeight="1">
      <c r="A746" s="1">
        <v>7</v>
      </c>
      <c r="B746" s="3">
        <f t="shared" si="1077"/>
        <v>1000</v>
      </c>
      <c r="C746" s="1">
        <f t="shared" si="1078"/>
        <v>2.8557464126587585E-2</v>
      </c>
      <c r="D746" s="1">
        <f t="shared" si="1079"/>
        <v>0.84694258219480334</v>
      </c>
      <c r="E746" s="1">
        <f t="shared" si="1080"/>
        <v>74.456816822589502</v>
      </c>
      <c r="F746" s="1">
        <f t="shared" si="1081"/>
        <v>20</v>
      </c>
      <c r="G746" s="1">
        <f t="shared" si="1082"/>
        <v>999.71351729097262</v>
      </c>
      <c r="H746" s="1">
        <f t="shared" si="1083"/>
        <v>66.121797057833362</v>
      </c>
      <c r="I746" s="1">
        <f t="shared" si="1084"/>
        <v>210.10268885933317</v>
      </c>
      <c r="J746" s="3">
        <f t="shared" si="1085"/>
        <v>26.457513110645905</v>
      </c>
      <c r="K746" s="47">
        <f t="shared" si="1086"/>
        <v>0.24223113339181643</v>
      </c>
      <c r="L746" s="3">
        <f t="shared" si="1087"/>
        <v>3</v>
      </c>
      <c r="M746" s="47">
        <f t="shared" si="1088"/>
        <v>0.44082098888410631</v>
      </c>
      <c r="N746" s="47">
        <f t="shared" si="1089"/>
        <v>345.14205704927554</v>
      </c>
      <c r="O746" s="1">
        <f t="shared" si="1090"/>
        <v>0.99736854132431429</v>
      </c>
      <c r="P746" s="1">
        <f t="shared" si="1091"/>
        <v>6.8054835764381281</v>
      </c>
      <c r="Q746" s="1">
        <f t="shared" si="1092"/>
        <v>74.600495770882532</v>
      </c>
      <c r="R746" s="1">
        <f t="shared" si="1093"/>
        <v>74.456816822589502</v>
      </c>
      <c r="S746" s="47">
        <f t="shared" si="1094"/>
        <v>146.17476085617184</v>
      </c>
      <c r="T746" s="1">
        <f t="shared" si="1095"/>
        <v>66.45853129684771</v>
      </c>
      <c r="U746" s="47">
        <f t="shared" si="1096"/>
        <v>66.336277591607001</v>
      </c>
      <c r="V746" s="47">
        <f t="shared" si="1097"/>
        <v>124.37734504358185</v>
      </c>
      <c r="W746" s="2">
        <f t="shared" si="1098"/>
        <v>999.72351729097261</v>
      </c>
      <c r="X746" s="1">
        <f t="shared" si="1099"/>
        <v>102.8068708557153</v>
      </c>
      <c r="Y746" s="1">
        <f t="shared" si="1100"/>
        <v>16.344530761358865</v>
      </c>
      <c r="Z746" s="2">
        <f t="shared" si="1101"/>
        <v>3.9592092841352406</v>
      </c>
      <c r="AA746" s="3">
        <f t="shared" si="1102"/>
        <v>1000</v>
      </c>
      <c r="AB746" s="1">
        <f t="shared" si="1073"/>
        <v>2.7655917285662746E-4</v>
      </c>
      <c r="AC746" s="1">
        <f t="shared" si="1106"/>
        <v>0</v>
      </c>
      <c r="AD746" s="64">
        <f t="shared" si="1074"/>
        <v>0</v>
      </c>
      <c r="AE746" s="1">
        <f t="shared" si="1105"/>
        <v>18.656035108354583</v>
      </c>
    </row>
    <row r="747" spans="1:31" ht="13.5" customHeight="1">
      <c r="A747" s="1">
        <v>8</v>
      </c>
      <c r="B747" s="3">
        <f t="shared" si="1077"/>
        <v>1000</v>
      </c>
      <c r="C747" s="1">
        <f t="shared" si="1078"/>
        <v>2.7393083250255742E-2</v>
      </c>
      <c r="D747" s="1">
        <f t="shared" si="1079"/>
        <v>0.84083805248629007</v>
      </c>
      <c r="E747" s="1">
        <f t="shared" si="1080"/>
        <v>74.600495770882532</v>
      </c>
      <c r="F747" s="1">
        <f t="shared" si="1081"/>
        <v>20</v>
      </c>
      <c r="G747" s="1">
        <f t="shared" si="1082"/>
        <v>999.82971167739822</v>
      </c>
      <c r="H747" s="1">
        <f t="shared" si="1083"/>
        <v>65.910174528774775</v>
      </c>
      <c r="I747" s="1">
        <f t="shared" si="1084"/>
        <v>219.03339413039546</v>
      </c>
      <c r="J747" s="3">
        <f t="shared" si="1085"/>
        <v>28.284271247461902</v>
      </c>
      <c r="K747" s="47">
        <f t="shared" si="1086"/>
        <v>0.26962421664207215</v>
      </c>
      <c r="L747" s="3">
        <f t="shared" si="1087"/>
        <v>3</v>
      </c>
      <c r="M747" s="47">
        <f t="shared" si="1088"/>
        <v>0.42933792458928677</v>
      </c>
      <c r="N747" s="47">
        <f t="shared" si="1089"/>
        <v>302.13127616432831</v>
      </c>
      <c r="O747" s="1">
        <f t="shared" si="1090"/>
        <v>0.99748398674652172</v>
      </c>
      <c r="P747" s="1">
        <f t="shared" si="1091"/>
        <v>6.9875029159603361</v>
      </c>
      <c r="Q747" s="1">
        <f t="shared" si="1092"/>
        <v>74.738217852471138</v>
      </c>
      <c r="R747" s="1">
        <f t="shared" si="1093"/>
        <v>74.600495770882532</v>
      </c>
      <c r="S747" s="47">
        <f t="shared" si="1094"/>
        <v>155.95947512309411</v>
      </c>
      <c r="T747" s="1">
        <f t="shared" si="1095"/>
        <v>66.292986685401615</v>
      </c>
      <c r="U747" s="47">
        <f t="shared" si="1096"/>
        <v>66.176512917358053</v>
      </c>
      <c r="V747" s="47">
        <f t="shared" si="1097"/>
        <v>131.89742356600459</v>
      </c>
      <c r="W747" s="2">
        <f t="shared" si="1098"/>
        <v>999.83971167739821</v>
      </c>
      <c r="X747" s="1">
        <f t="shared" si="1099"/>
        <v>98.615099700920666</v>
      </c>
      <c r="Y747" s="1">
        <f t="shared" si="1100"/>
        <v>17.034814875457414</v>
      </c>
      <c r="Z747" s="2">
        <f t="shared" si="1101"/>
        <v>3.8617889523971614</v>
      </c>
      <c r="AA747" s="3">
        <f t="shared" si="1102"/>
        <v>1000</v>
      </c>
      <c r="AB747" s="1">
        <f t="shared" si="1073"/>
        <v>1.6031401906690945E-4</v>
      </c>
      <c r="AC747" s="1">
        <f t="shared" si="1106"/>
        <v>0</v>
      </c>
      <c r="AD747" s="64">
        <f t="shared" si="1074"/>
        <v>0</v>
      </c>
      <c r="AE747" s="1">
        <f t="shared" si="1105"/>
        <v>18.656035108354583</v>
      </c>
    </row>
    <row r="748" spans="1:31" ht="13.5" customHeight="1">
      <c r="A748" s="1">
        <v>9</v>
      </c>
      <c r="B748" s="3">
        <f t="shared" si="1077"/>
        <v>1000</v>
      </c>
      <c r="C748" s="1">
        <f t="shared" si="1078"/>
        <v>2.6360274560822773E-2</v>
      </c>
      <c r="D748" s="1">
        <f t="shared" si="1079"/>
        <v>0.83500273624052634</v>
      </c>
      <c r="E748" s="1">
        <f t="shared" si="1080"/>
        <v>74.738217852471138</v>
      </c>
      <c r="F748" s="1">
        <f t="shared" si="1081"/>
        <v>20</v>
      </c>
      <c r="G748" s="1">
        <f t="shared" si="1082"/>
        <v>999.92313265576684</v>
      </c>
      <c r="H748" s="1">
        <f t="shared" si="1083"/>
        <v>65.706561683743431</v>
      </c>
      <c r="I748" s="1">
        <f t="shared" si="1084"/>
        <v>227.61523163030074</v>
      </c>
      <c r="J748" s="3">
        <f t="shared" si="1085"/>
        <v>30</v>
      </c>
      <c r="K748" s="47">
        <f t="shared" si="1086"/>
        <v>0.29598449120289494</v>
      </c>
      <c r="L748" s="3">
        <f t="shared" si="1087"/>
        <v>3</v>
      </c>
      <c r="M748" s="47">
        <f t="shared" si="1088"/>
        <v>0.41894478584981593</v>
      </c>
      <c r="N748" s="47">
        <f t="shared" si="1089"/>
        <v>268.06377304566365</v>
      </c>
      <c r="O748" s="1">
        <f t="shared" si="1090"/>
        <v>0.99757810007048742</v>
      </c>
      <c r="P748" s="1">
        <f t="shared" si="1091"/>
        <v>7.1608481626393727</v>
      </c>
      <c r="Q748" s="1">
        <f t="shared" si="1092"/>
        <v>74.871110190373486</v>
      </c>
      <c r="R748" s="1">
        <f t="shared" si="1093"/>
        <v>74.738217852471138</v>
      </c>
      <c r="S748" s="47">
        <f t="shared" si="1094"/>
        <v>165.20309827891003</v>
      </c>
      <c r="T748" s="1">
        <f t="shared" si="1095"/>
        <v>66.134659225977344</v>
      </c>
      <c r="U748" s="47">
        <f t="shared" si="1096"/>
        <v>66.02292569804986</v>
      </c>
      <c r="V748" s="47">
        <f t="shared" si="1097"/>
        <v>138.89984393846439</v>
      </c>
      <c r="W748" s="2">
        <f t="shared" si="1098"/>
        <v>999.93313265576683</v>
      </c>
      <c r="X748" s="1">
        <f t="shared" si="1099"/>
        <v>94.896988418961982</v>
      </c>
      <c r="Y748" s="1">
        <f t="shared" si="1100"/>
        <v>17.63907742778607</v>
      </c>
      <c r="Z748" s="2">
        <f t="shared" si="1101"/>
        <v>3.774452188833187</v>
      </c>
      <c r="AA748" s="3">
        <f t="shared" si="1102"/>
        <v>1000</v>
      </c>
      <c r="AB748" s="1">
        <f t="shared" si="1073"/>
        <v>6.6871815773916765E-5</v>
      </c>
      <c r="AC748" s="1">
        <f t="shared" si="1106"/>
        <v>0</v>
      </c>
      <c r="AD748" s="64">
        <f t="shared" si="1074"/>
        <v>0</v>
      </c>
      <c r="AE748" s="1">
        <f t="shared" si="1105"/>
        <v>18.656035108354583</v>
      </c>
    </row>
    <row r="749" spans="1:31" ht="13.5" customHeight="1">
      <c r="A749" s="1">
        <v>10</v>
      </c>
      <c r="B749" s="3">
        <f t="shared" si="1077"/>
        <v>1000</v>
      </c>
      <c r="C749" s="1">
        <f t="shared" si="1078"/>
        <v>2.5433308076283467E-2</v>
      </c>
      <c r="D749" s="1">
        <f t="shared" si="1079"/>
        <v>0.82939039640873136</v>
      </c>
      <c r="E749" s="1">
        <f t="shared" si="1080"/>
        <v>74.871110190373486</v>
      </c>
      <c r="F749" s="1">
        <f t="shared" si="1081"/>
        <v>20</v>
      </c>
      <c r="G749" s="1">
        <f t="shared" si="1082"/>
        <v>999.99853435378384</v>
      </c>
      <c r="H749" s="1">
        <f t="shared" si="1083"/>
        <v>65.509571832181052</v>
      </c>
      <c r="I749" s="1">
        <f t="shared" si="1084"/>
        <v>235.91111238867876</v>
      </c>
      <c r="J749" s="3">
        <f t="shared" si="1085"/>
        <v>31.622776601683793</v>
      </c>
      <c r="K749" s="47">
        <f t="shared" si="1086"/>
        <v>0.32141779927917841</v>
      </c>
      <c r="L749" s="3">
        <f t="shared" si="1087"/>
        <v>3</v>
      </c>
      <c r="M749" s="47">
        <f t="shared" si="1088"/>
        <v>0.40944942583334826</v>
      </c>
      <c r="N749" s="47">
        <f t="shared" si="1089"/>
        <v>240.4150672385943</v>
      </c>
      <c r="O749" s="1">
        <f t="shared" si="1090"/>
        <v>0.99765654891588162</v>
      </c>
      <c r="P749" s="1">
        <f t="shared" si="1091"/>
        <v>7.3269122160670523</v>
      </c>
      <c r="Q749" s="1">
        <f t="shared" si="1092"/>
        <v>75</v>
      </c>
      <c r="R749" s="1">
        <f t="shared" si="1093"/>
        <v>74.871110190373486</v>
      </c>
      <c r="S749" s="47">
        <f t="shared" si="1094"/>
        <v>173.99541163059433</v>
      </c>
      <c r="T749" s="1">
        <f t="shared" si="1095"/>
        <v>65.982304777080103</v>
      </c>
      <c r="U749" s="47">
        <f t="shared" si="1096"/>
        <v>65.874547495099989</v>
      </c>
      <c r="V749" s="47">
        <f t="shared" si="1097"/>
        <v>145.46745540748174</v>
      </c>
      <c r="W749" s="2">
        <f t="shared" si="1098"/>
        <v>1000.0085343537838</v>
      </c>
      <c r="X749" s="1">
        <f t="shared" si="1099"/>
        <v>91.559909074620478</v>
      </c>
      <c r="Y749" s="1">
        <f t="shared" si="1100"/>
        <v>18.175204973877396</v>
      </c>
      <c r="Z749" s="2">
        <f t="shared" si="1101"/>
        <v>3.6950764984891067</v>
      </c>
      <c r="AA749" s="3">
        <f t="shared" si="1102"/>
        <v>1000</v>
      </c>
      <c r="AB749" s="1">
        <f t="shared" si="1073"/>
        <v>-8.5342809492683358E-6</v>
      </c>
      <c r="AC749" s="1">
        <f t="shared" si="1106"/>
        <v>0</v>
      </c>
      <c r="AD749" s="64">
        <f t="shared" si="1074"/>
        <v>0</v>
      </c>
      <c r="AE749" s="1">
        <f t="shared" si="1105"/>
        <v>18.656035108354583</v>
      </c>
    </row>
    <row r="750" spans="1:31" ht="13.5" customHeight="1">
      <c r="K750" s="47"/>
      <c r="L750" s="47"/>
      <c r="M750" s="47"/>
      <c r="N750" s="47">
        <f>SUM(N740:N749)</f>
        <v>6328.0175541772915</v>
      </c>
      <c r="O750" s="2" t="s">
        <v>46</v>
      </c>
      <c r="P750" s="2"/>
      <c r="Q750" s="2"/>
      <c r="R750" s="49">
        <f>R730</f>
        <v>75</v>
      </c>
      <c r="S750" s="50" t="s">
        <v>45</v>
      </c>
      <c r="T750" s="2"/>
      <c r="U750" s="11">
        <f>U749</f>
        <v>65.874547495099989</v>
      </c>
      <c r="V750" s="47"/>
      <c r="W750" s="2"/>
      <c r="Y750" s="1">
        <f>N751</f>
        <v>18.656035108354583</v>
      </c>
      <c r="AE750" s="1">
        <f t="shared" si="1105"/>
        <v>18.656035108354583</v>
      </c>
    </row>
    <row r="751" spans="1:31" ht="13.5" customHeight="1">
      <c r="K751" s="47"/>
      <c r="L751" s="2" t="s">
        <v>44</v>
      </c>
      <c r="M751" s="2"/>
      <c r="N751" s="47">
        <f>N750*2/1000+Y751</f>
        <v>18.656035108354583</v>
      </c>
      <c r="O751" s="2" t="s">
        <v>1</v>
      </c>
      <c r="P751" s="1">
        <f>SUM(P740:P749)</f>
        <v>64.376903840652659</v>
      </c>
      <c r="Q751" s="1" t="s">
        <v>43</v>
      </c>
      <c r="S751" s="47"/>
      <c r="U751" s="47"/>
      <c r="V751" s="47"/>
      <c r="W751" s="2"/>
      <c r="Y751" s="3">
        <f>Y731</f>
        <v>6</v>
      </c>
      <c r="Z751" s="3" t="s">
        <v>42</v>
      </c>
      <c r="AE751" s="1">
        <f>N751</f>
        <v>18.656035108354583</v>
      </c>
    </row>
    <row r="752" spans="1:31" ht="13.5" customHeight="1">
      <c r="L752" s="60" t="s">
        <v>41</v>
      </c>
      <c r="N752" s="3">
        <f>N732</f>
        <v>15</v>
      </c>
      <c r="O752" s="1" t="s">
        <v>1</v>
      </c>
    </row>
    <row r="755" spans="1:31" ht="13.5" customHeight="1" thickBot="1"/>
    <row r="756" spans="1:31" ht="13.5" customHeight="1">
      <c r="B756" s="14" t="s">
        <v>40</v>
      </c>
      <c r="C756" s="15"/>
      <c r="D756" s="15"/>
      <c r="E756" s="15"/>
      <c r="F756" s="15"/>
      <c r="G756" s="15"/>
      <c r="H756" s="15" t="s">
        <v>39</v>
      </c>
      <c r="I756" s="16"/>
      <c r="J756" s="14" t="s">
        <v>38</v>
      </c>
      <c r="K756" s="15"/>
      <c r="L756" s="15"/>
      <c r="M756" s="15"/>
      <c r="N756" s="15" t="s">
        <v>37</v>
      </c>
      <c r="O756" s="15"/>
      <c r="P756" s="15"/>
      <c r="Q756" s="15"/>
      <c r="R756" s="15"/>
      <c r="S756" s="16"/>
      <c r="T756" s="14" t="s">
        <v>36</v>
      </c>
      <c r="U756" s="15"/>
      <c r="V756" s="16"/>
      <c r="W756" s="14"/>
      <c r="X756" s="15"/>
      <c r="Y756" s="15"/>
      <c r="Z756" s="16"/>
    </row>
    <row r="757" spans="1:31" ht="13.5" customHeight="1">
      <c r="B757" s="17" t="s">
        <v>35</v>
      </c>
      <c r="C757" s="18" t="s">
        <v>22</v>
      </c>
      <c r="D757" s="18"/>
      <c r="E757" s="18" t="s">
        <v>34</v>
      </c>
      <c r="F757" s="18" t="s">
        <v>33</v>
      </c>
      <c r="G757" s="18" t="s">
        <v>7</v>
      </c>
      <c r="H757" s="18" t="s">
        <v>32</v>
      </c>
      <c r="I757" s="19" t="s">
        <v>22</v>
      </c>
      <c r="J757" s="17" t="s">
        <v>31</v>
      </c>
      <c r="K757" s="18"/>
      <c r="L757" s="18" t="s">
        <v>30</v>
      </c>
      <c r="M757" s="18"/>
      <c r="N757" s="18" t="s">
        <v>29</v>
      </c>
      <c r="O757" s="18"/>
      <c r="P757" s="18" t="s">
        <v>28</v>
      </c>
      <c r="Q757" s="20" t="s">
        <v>27</v>
      </c>
      <c r="R757" s="21" t="s">
        <v>26</v>
      </c>
      <c r="S757" s="22" t="s">
        <v>7</v>
      </c>
      <c r="T757" s="23" t="s">
        <v>25</v>
      </c>
      <c r="U757" s="24" t="s">
        <v>24</v>
      </c>
      <c r="V757" s="25" t="s">
        <v>7</v>
      </c>
      <c r="W757" s="26" t="s">
        <v>23</v>
      </c>
      <c r="X757" s="4" t="s">
        <v>22</v>
      </c>
      <c r="Y757" s="4" t="s">
        <v>21</v>
      </c>
      <c r="Z757" s="5" t="s">
        <v>20</v>
      </c>
    </row>
    <row r="758" spans="1:31" ht="13.5" customHeight="1">
      <c r="B758" s="54" t="s">
        <v>3</v>
      </c>
      <c r="C758" s="28" t="s">
        <v>17</v>
      </c>
      <c r="D758" s="20" t="s">
        <v>13</v>
      </c>
      <c r="E758" s="20" t="s">
        <v>19</v>
      </c>
      <c r="F758" s="28" t="s">
        <v>19</v>
      </c>
      <c r="G758" s="20" t="s">
        <v>3</v>
      </c>
      <c r="H758" s="20" t="s">
        <v>19</v>
      </c>
      <c r="I758" s="29" t="s">
        <v>12</v>
      </c>
      <c r="J758" s="55" t="s">
        <v>18</v>
      </c>
      <c r="K758" s="20" t="s">
        <v>17</v>
      </c>
      <c r="L758" s="56" t="s">
        <v>16</v>
      </c>
      <c r="M758" s="20" t="s">
        <v>15</v>
      </c>
      <c r="N758" s="20" t="s">
        <v>14</v>
      </c>
      <c r="O758" s="20" t="s">
        <v>13</v>
      </c>
      <c r="P758" s="20" t="s">
        <v>12</v>
      </c>
      <c r="Q758" s="20" t="s">
        <v>11</v>
      </c>
      <c r="R758" s="21" t="s">
        <v>11</v>
      </c>
      <c r="S758" s="22" t="s">
        <v>10</v>
      </c>
      <c r="T758" s="23" t="s">
        <v>9</v>
      </c>
      <c r="U758" s="24" t="s">
        <v>9</v>
      </c>
      <c r="V758" s="33" t="s">
        <v>8</v>
      </c>
      <c r="W758" s="34" t="s">
        <v>7</v>
      </c>
      <c r="X758" s="4" t="s">
        <v>6</v>
      </c>
      <c r="Y758" s="6" t="s">
        <v>5</v>
      </c>
      <c r="Z758" s="7" t="s">
        <v>5</v>
      </c>
    </row>
    <row r="759" spans="1:31" ht="13.5" customHeight="1" thickBot="1">
      <c r="B759" s="57"/>
      <c r="C759" s="3">
        <f>C739</f>
        <v>1.05</v>
      </c>
      <c r="D759" s="37"/>
      <c r="E759" s="38"/>
      <c r="F759" s="38"/>
      <c r="G759" s="37"/>
      <c r="H759" s="37"/>
      <c r="I759" s="39"/>
      <c r="J759" s="58" t="s">
        <v>4</v>
      </c>
      <c r="K759" s="44"/>
      <c r="L759" s="59"/>
      <c r="M759" s="37"/>
      <c r="N759" s="37"/>
      <c r="O759" s="37"/>
      <c r="P759" s="37"/>
      <c r="Q759" s="42"/>
      <c r="R759" s="42"/>
      <c r="S759" s="52" t="s">
        <v>3</v>
      </c>
      <c r="T759" s="43"/>
      <c r="U759" s="44"/>
      <c r="V759" s="39" t="s">
        <v>3</v>
      </c>
      <c r="W759" s="45" t="s">
        <v>3</v>
      </c>
      <c r="X759" s="8" t="s">
        <v>2</v>
      </c>
      <c r="Y759" s="9" t="s">
        <v>1</v>
      </c>
      <c r="Z759" s="13" t="s">
        <v>0</v>
      </c>
    </row>
    <row r="760" spans="1:31" ht="13.5" customHeight="1">
      <c r="A760" s="1">
        <v>1</v>
      </c>
      <c r="B760" s="3">
        <f t="shared" ref="B760:B769" si="1107">B740</f>
        <v>1000</v>
      </c>
      <c r="C760" s="1">
        <f t="shared" ref="C760:C769" si="1108">IF(B760&lt;1,0.000001,C740*(1+AB740))</f>
        <v>4.4514676064453654E-2</v>
      </c>
      <c r="D760" s="1">
        <f t="shared" si="1079"/>
        <v>0.89973251266071042</v>
      </c>
      <c r="E760" s="1">
        <f t="shared" ref="E760:E769" si="1109">R760</f>
        <v>73.219371568244441</v>
      </c>
      <c r="F760" s="1">
        <f t="shared" ref="F760:F769" si="1110">F740</f>
        <v>20</v>
      </c>
      <c r="G760" s="1">
        <f t="shared" ref="G760:G769" si="1111">(E760-F760)*C760*(1-D760)*4200</f>
        <v>997.65958993293475</v>
      </c>
      <c r="H760" s="1">
        <f t="shared" ref="H760:H769" si="1112">(E760-F760)*D760+F760</f>
        <v>67.883198903320533</v>
      </c>
      <c r="I760" s="1">
        <f t="shared" ref="I760:I769" si="1113">B760*0.001*6/C760</f>
        <v>134.78700802657724</v>
      </c>
      <c r="J760" s="3">
        <f t="shared" ref="J760:J769" si="1114">J740</f>
        <v>10</v>
      </c>
      <c r="K760" s="47">
        <f t="shared" ref="K760:K769" si="1115">K759+C760</f>
        <v>4.4514676064453654E-2</v>
      </c>
      <c r="L760" s="3">
        <f t="shared" ref="L760:L769" si="1116">L740</f>
        <v>3</v>
      </c>
      <c r="M760" s="47">
        <f t="shared" ref="M760:M769" si="1117">K760/(J760*J760*3.14/4000)</f>
        <v>0.56706593712679809</v>
      </c>
      <c r="N760" s="47">
        <f t="shared" ref="N760:N769" si="1118">L760*26400/J760^1.27*M760^1.83*$N$69</f>
        <v>1882.7151202952289</v>
      </c>
      <c r="O760" s="1">
        <f t="shared" ref="O760:O769" si="1119">EXP(-(J760+2)*3.14/1000*$O$66/(M760*J760*J760*3.14/4000*4200)*L760)</f>
        <v>0.99397208116981095</v>
      </c>
      <c r="P760" s="1">
        <f t="shared" ref="P760:P769" si="1120">L760/M760</f>
        <v>5.290390065043157</v>
      </c>
      <c r="Q760" s="1">
        <f t="shared" ref="Q760:Q769" si="1121">R761</f>
        <v>73.542119116273653</v>
      </c>
      <c r="R760" s="1">
        <f t="shared" ref="R760:R769" si="1122">(Q760-F760)*O760+F760</f>
        <v>73.219371568244441</v>
      </c>
      <c r="S760" s="47">
        <f t="shared" ref="S760:S769" si="1123">K760*(1-O760)*4200*(Q760-F760)</f>
        <v>60.341410714691506</v>
      </c>
      <c r="T760" s="1">
        <f t="shared" ref="T760:T769" si="1124">(U759*K759+H760*C760)/K760</f>
        <v>67.883198903320533</v>
      </c>
      <c r="U760" s="47">
        <f t="shared" ref="U760:U769" si="1125">(T760-F760)*O760+F760</f>
        <v>67.594562867001514</v>
      </c>
      <c r="V760" s="47">
        <f t="shared" ref="V760:V769" si="1126">K760*(1-O760)*4200*(T760-F760)</f>
        <v>53.963866560528814</v>
      </c>
      <c r="W760" s="2">
        <f t="shared" si="1098"/>
        <v>997.66958993293474</v>
      </c>
      <c r="X760" s="1">
        <f t="shared" ref="X760:X769" si="1127">C760*3600</f>
        <v>160.25283383203316</v>
      </c>
      <c r="Y760" s="1">
        <f t="shared" ref="Y760:Y769" si="1128">Y761-2*N760/1000</f>
        <v>6.0000000000000018</v>
      </c>
      <c r="Z760" s="2">
        <f t="shared" ref="Z760:Z769" si="1129">-1.1-1.8*LOG10(Y760/X760/X760)</f>
        <v>5.436628334498474</v>
      </c>
      <c r="AA760" s="3">
        <f t="shared" ref="AA760:AA769" si="1130">AA740</f>
        <v>1000</v>
      </c>
      <c r="AB760" s="1">
        <f t="shared" ref="AB760" si="1131">((AA760/W760)-1)*AB$23+AC760+AD760</f>
        <v>2.3358535637254541E-3</v>
      </c>
      <c r="AC760" s="1">
        <f>((N772/N771)-1)*AB$24</f>
        <v>0</v>
      </c>
      <c r="AD760" s="64">
        <f t="shared" ref="AD760" si="1132">(AC$21-(X760/1000/SQRT(Y760/104))*1000/B760)*AB$21</f>
        <v>0</v>
      </c>
      <c r="AE760" s="1">
        <f t="shared" ref="AE760:AE770" si="1133">AE761</f>
        <v>18.699446985445825</v>
      </c>
    </row>
    <row r="761" spans="1:31" ht="13.5" customHeight="1">
      <c r="A761" s="1">
        <v>2</v>
      </c>
      <c r="B761" s="3">
        <f t="shared" si="1107"/>
        <v>1000</v>
      </c>
      <c r="C761" s="1">
        <f t="shared" si="1108"/>
        <v>3.8990613130886455E-2</v>
      </c>
      <c r="D761" s="1">
        <f t="shared" si="1079"/>
        <v>0.8861231418970712</v>
      </c>
      <c r="E761" s="1">
        <f t="shared" si="1109"/>
        <v>73.542119116273653</v>
      </c>
      <c r="F761" s="1">
        <f t="shared" si="1110"/>
        <v>20</v>
      </c>
      <c r="G761" s="1">
        <f t="shared" si="1111"/>
        <v>998.48233820137102</v>
      </c>
      <c r="H761" s="1">
        <f t="shared" si="1112"/>
        <v>67.44491081513965</v>
      </c>
      <c r="I761" s="1">
        <f t="shared" si="1113"/>
        <v>153.88319183026886</v>
      </c>
      <c r="J761" s="3">
        <f t="shared" si="1114"/>
        <v>14.142135623730951</v>
      </c>
      <c r="K761" s="47">
        <f t="shared" si="1115"/>
        <v>8.3505289195340116E-2</v>
      </c>
      <c r="L761" s="3">
        <f t="shared" si="1116"/>
        <v>3</v>
      </c>
      <c r="M761" s="47">
        <f t="shared" si="1117"/>
        <v>0.5318808229002554</v>
      </c>
      <c r="N761" s="47">
        <f t="shared" si="1118"/>
        <v>1078.25473736864</v>
      </c>
      <c r="O761" s="1">
        <f t="shared" si="1119"/>
        <v>0.99567379098774111</v>
      </c>
      <c r="P761" s="1">
        <f t="shared" si="1120"/>
        <v>5.6403612817651743</v>
      </c>
      <c r="Q761" s="1">
        <f t="shared" si="1121"/>
        <v>73.77475996747701</v>
      </c>
      <c r="R761" s="1">
        <f t="shared" si="1122"/>
        <v>73.542119116273653</v>
      </c>
      <c r="S761" s="47">
        <f t="shared" si="1123"/>
        <v>81.592314545223076</v>
      </c>
      <c r="T761" s="1">
        <f t="shared" si="1124"/>
        <v>67.52468675119357</v>
      </c>
      <c r="U761" s="47">
        <f t="shared" si="1125"/>
        <v>67.319085023065782</v>
      </c>
      <c r="V761" s="47">
        <f t="shared" si="1126"/>
        <v>72.109093418767188</v>
      </c>
      <c r="W761" s="2">
        <f t="shared" si="1098"/>
        <v>998.49233820137101</v>
      </c>
      <c r="X761" s="1">
        <f t="shared" si="1127"/>
        <v>140.36620727119123</v>
      </c>
      <c r="Y761" s="1">
        <f t="shared" si="1128"/>
        <v>9.7654302405904598</v>
      </c>
      <c r="Z761" s="2">
        <f t="shared" si="1129"/>
        <v>4.8487007476171016</v>
      </c>
      <c r="AA761" s="3">
        <f t="shared" si="1130"/>
        <v>1000</v>
      </c>
      <c r="AB761" s="1">
        <f t="shared" si="1073"/>
        <v>1.5099382748842149E-3</v>
      </c>
      <c r="AC761" s="1">
        <f t="shared" ref="AC761:AC769" si="1134">AC760</f>
        <v>0</v>
      </c>
      <c r="AD761" s="64">
        <f t="shared" si="1074"/>
        <v>0</v>
      </c>
      <c r="AE761" s="1">
        <f t="shared" si="1133"/>
        <v>18.699446985445825</v>
      </c>
    </row>
    <row r="762" spans="1:31" ht="13.5" customHeight="1">
      <c r="A762" s="1">
        <v>3</v>
      </c>
      <c r="B762" s="3">
        <f t="shared" si="1107"/>
        <v>1000</v>
      </c>
      <c r="C762" s="1">
        <f t="shared" si="1108"/>
        <v>3.5727424124353285E-2</v>
      </c>
      <c r="D762" s="1">
        <f t="shared" si="1079"/>
        <v>0.87620428742739997</v>
      </c>
      <c r="E762" s="1">
        <f t="shared" si="1109"/>
        <v>73.77475996747701</v>
      </c>
      <c r="F762" s="1">
        <f t="shared" si="1110"/>
        <v>20</v>
      </c>
      <c r="G762" s="1">
        <f t="shared" si="1111"/>
        <v>998.93005602703045</v>
      </c>
      <c r="H762" s="1">
        <f t="shared" si="1112"/>
        <v>67.117675238882669</v>
      </c>
      <c r="I762" s="1">
        <f t="shared" si="1113"/>
        <v>167.93821964651946</v>
      </c>
      <c r="J762" s="3">
        <f t="shared" si="1114"/>
        <v>17.320508075688775</v>
      </c>
      <c r="K762" s="47">
        <f t="shared" si="1115"/>
        <v>0.1192327133196934</v>
      </c>
      <c r="L762" s="3">
        <f t="shared" si="1116"/>
        <v>3</v>
      </c>
      <c r="M762" s="47">
        <f t="shared" si="1117"/>
        <v>0.50629602258893147</v>
      </c>
      <c r="N762" s="47">
        <f t="shared" si="1118"/>
        <v>761.593907970999</v>
      </c>
      <c r="O762" s="1">
        <f t="shared" si="1119"/>
        <v>0.99637226310529836</v>
      </c>
      <c r="P762" s="1">
        <f t="shared" si="1120"/>
        <v>5.9253872559764114</v>
      </c>
      <c r="Q762" s="1">
        <f t="shared" si="1121"/>
        <v>73.970550926299723</v>
      </c>
      <c r="R762" s="1">
        <f t="shared" si="1122"/>
        <v>73.77475996747701</v>
      </c>
      <c r="S762" s="47">
        <f t="shared" si="1123"/>
        <v>98.047686508364137</v>
      </c>
      <c r="T762" s="1">
        <f t="shared" si="1124"/>
        <v>67.258733693451987</v>
      </c>
      <c r="U762" s="47">
        <f t="shared" si="1125"/>
        <v>67.087291441635372</v>
      </c>
      <c r="V762" s="47">
        <f t="shared" si="1126"/>
        <v>85.854404419279305</v>
      </c>
      <c r="W762" s="2">
        <f t="shared" si="1098"/>
        <v>998.94005602703044</v>
      </c>
      <c r="X762" s="1">
        <f t="shared" si="1127"/>
        <v>128.61872684767184</v>
      </c>
      <c r="Y762" s="1">
        <f t="shared" si="1128"/>
        <v>11.92193971532774</v>
      </c>
      <c r="Z762" s="2">
        <f t="shared" si="1129"/>
        <v>4.5560706842239505</v>
      </c>
      <c r="AA762" s="3">
        <f t="shared" si="1130"/>
        <v>1000</v>
      </c>
      <c r="AB762" s="1">
        <f t="shared" si="1073"/>
        <v>1.0610686462861896E-3</v>
      </c>
      <c r="AC762" s="1">
        <f t="shared" si="1134"/>
        <v>0</v>
      </c>
      <c r="AD762" s="64">
        <f t="shared" si="1074"/>
        <v>0</v>
      </c>
      <c r="AE762" s="1">
        <f t="shared" si="1133"/>
        <v>18.699446985445825</v>
      </c>
    </row>
    <row r="763" spans="1:31" ht="13.5" customHeight="1">
      <c r="A763" s="1">
        <v>4</v>
      </c>
      <c r="B763" s="3">
        <f t="shared" si="1107"/>
        <v>1000</v>
      </c>
      <c r="C763" s="1">
        <f t="shared" si="1108"/>
        <v>3.3350708874902851E-2</v>
      </c>
      <c r="D763" s="1">
        <f t="shared" si="1079"/>
        <v>0.86782329276223613</v>
      </c>
      <c r="E763" s="1">
        <f t="shared" si="1109"/>
        <v>73.970550926299723</v>
      </c>
      <c r="F763" s="1">
        <f t="shared" si="1110"/>
        <v>20</v>
      </c>
      <c r="G763" s="1">
        <f t="shared" si="1111"/>
        <v>999.23155360816281</v>
      </c>
      <c r="H763" s="1">
        <f t="shared" si="1112"/>
        <v>66.836901217053381</v>
      </c>
      <c r="I763" s="1">
        <f t="shared" si="1113"/>
        <v>179.90622095937317</v>
      </c>
      <c r="J763" s="3">
        <f t="shared" si="1114"/>
        <v>20</v>
      </c>
      <c r="K763" s="47">
        <f t="shared" si="1115"/>
        <v>0.15258342219459625</v>
      </c>
      <c r="L763" s="3">
        <f t="shared" si="1116"/>
        <v>3</v>
      </c>
      <c r="M763" s="47">
        <f t="shared" si="1117"/>
        <v>0.48593446558788617</v>
      </c>
      <c r="N763" s="47">
        <f t="shared" si="1118"/>
        <v>588.52416088411803</v>
      </c>
      <c r="O763" s="1">
        <f t="shared" si="1119"/>
        <v>0.99677139500442469</v>
      </c>
      <c r="P763" s="1">
        <f t="shared" si="1120"/>
        <v>6.1736719916966241</v>
      </c>
      <c r="Q763" s="1">
        <f t="shared" si="1121"/>
        <v>74.14536492197405</v>
      </c>
      <c r="R763" s="1">
        <f t="shared" si="1122"/>
        <v>73.970550926299723</v>
      </c>
      <c r="S763" s="47">
        <f t="shared" si="1123"/>
        <v>112.02961437150498</v>
      </c>
      <c r="T763" s="1">
        <f t="shared" si="1124"/>
        <v>67.032562747226464</v>
      </c>
      <c r="U763" s="47">
        <f t="shared" si="1125"/>
        <v>66.880713180186063</v>
      </c>
      <c r="V763" s="47">
        <f t="shared" si="1126"/>
        <v>97.312851710729433</v>
      </c>
      <c r="W763" s="2">
        <f t="shared" si="1098"/>
        <v>999.2415536081628</v>
      </c>
      <c r="X763" s="1">
        <f t="shared" si="1127"/>
        <v>120.06255194965027</v>
      </c>
      <c r="Y763" s="1">
        <f t="shared" si="1128"/>
        <v>13.445127531269739</v>
      </c>
      <c r="Z763" s="2">
        <f t="shared" si="1129"/>
        <v>4.3544503856338039</v>
      </c>
      <c r="AA763" s="3">
        <f t="shared" si="1130"/>
        <v>1000</v>
      </c>
      <c r="AB763" s="1">
        <f t="shared" si="1073"/>
        <v>7.5902206938693872E-4</v>
      </c>
      <c r="AC763" s="1">
        <f t="shared" si="1134"/>
        <v>0</v>
      </c>
      <c r="AD763" s="64">
        <f t="shared" si="1074"/>
        <v>0</v>
      </c>
      <c r="AE763" s="1">
        <f t="shared" si="1133"/>
        <v>18.699446985445825</v>
      </c>
    </row>
    <row r="764" spans="1:31" ht="13.5" customHeight="1">
      <c r="A764" s="1">
        <v>5</v>
      </c>
      <c r="B764" s="3">
        <f t="shared" si="1107"/>
        <v>1000</v>
      </c>
      <c r="C764" s="1">
        <f t="shared" si="1108"/>
        <v>3.1466976943297066E-2</v>
      </c>
      <c r="D764" s="1">
        <f t="shared" si="1079"/>
        <v>0.86033222210134452</v>
      </c>
      <c r="E764" s="1">
        <f t="shared" si="1109"/>
        <v>74.14536492197405</v>
      </c>
      <c r="F764" s="1">
        <f t="shared" si="1110"/>
        <v>20</v>
      </c>
      <c r="G764" s="1">
        <f t="shared" si="1111"/>
        <v>999.45172291666609</v>
      </c>
      <c r="H764" s="1">
        <f t="shared" si="1112"/>
        <v>66.583002119810118</v>
      </c>
      <c r="I764" s="1">
        <f t="shared" si="1113"/>
        <v>190.67608594279309</v>
      </c>
      <c r="J764" s="3">
        <f t="shared" si="1114"/>
        <v>22.360679774997898</v>
      </c>
      <c r="K764" s="47">
        <f t="shared" si="1115"/>
        <v>0.18405039913789331</v>
      </c>
      <c r="L764" s="3">
        <f t="shared" si="1116"/>
        <v>3</v>
      </c>
      <c r="M764" s="47">
        <f t="shared" si="1117"/>
        <v>0.46891821436405928</v>
      </c>
      <c r="N764" s="47">
        <f t="shared" si="1118"/>
        <v>478.51652417855234</v>
      </c>
      <c r="O764" s="1">
        <f t="shared" si="1119"/>
        <v>0.99703578443038676</v>
      </c>
      <c r="P764" s="1">
        <f t="shared" si="1120"/>
        <v>6.3977041371032275</v>
      </c>
      <c r="Q764" s="1">
        <f t="shared" si="1121"/>
        <v>74.306340622375615</v>
      </c>
      <c r="R764" s="1">
        <f t="shared" si="1122"/>
        <v>74.14536492197405</v>
      </c>
      <c r="S764" s="47">
        <f t="shared" si="1123"/>
        <v>124.43609602372237</v>
      </c>
      <c r="T764" s="1">
        <f t="shared" si="1124"/>
        <v>66.829813713971944</v>
      </c>
      <c r="U764" s="47">
        <f t="shared" si="1125"/>
        <v>66.691000051038898</v>
      </c>
      <c r="V764" s="47">
        <f t="shared" si="1126"/>
        <v>107.30458228820223</v>
      </c>
      <c r="W764" s="2">
        <f t="shared" si="1098"/>
        <v>999.46172291666608</v>
      </c>
      <c r="X764" s="1">
        <f t="shared" si="1127"/>
        <v>113.28111699586944</v>
      </c>
      <c r="Y764" s="1">
        <f t="shared" si="1128"/>
        <v>14.622175853037975</v>
      </c>
      <c r="Z764" s="2">
        <f t="shared" si="1129"/>
        <v>4.1979454769191573</v>
      </c>
      <c r="AA764" s="3">
        <f t="shared" si="1130"/>
        <v>1000</v>
      </c>
      <c r="AB764" s="1">
        <f t="shared" si="1073"/>
        <v>5.3856698159804317E-4</v>
      </c>
      <c r="AC764" s="1">
        <f t="shared" si="1134"/>
        <v>0</v>
      </c>
      <c r="AD764" s="64">
        <f t="shared" si="1074"/>
        <v>0</v>
      </c>
      <c r="AE764" s="1">
        <f t="shared" si="1133"/>
        <v>18.699446985445825</v>
      </c>
    </row>
    <row r="765" spans="1:31" ht="13.5" customHeight="1">
      <c r="A765" s="1">
        <v>6</v>
      </c>
      <c r="B765" s="3">
        <f t="shared" si="1107"/>
        <v>1000</v>
      </c>
      <c r="C765" s="1">
        <f t="shared" si="1108"/>
        <v>2.9902971990802898E-2</v>
      </c>
      <c r="D765" s="1">
        <f t="shared" si="1079"/>
        <v>0.85343831809213211</v>
      </c>
      <c r="E765" s="1">
        <f t="shared" si="1109"/>
        <v>74.306340622375615</v>
      </c>
      <c r="F765" s="1">
        <f t="shared" si="1110"/>
        <v>20</v>
      </c>
      <c r="G765" s="1">
        <f t="shared" si="1111"/>
        <v>999.6192800520231</v>
      </c>
      <c r="H765" s="1">
        <f t="shared" si="1112"/>
        <v>66.347112002498676</v>
      </c>
      <c r="I765" s="1">
        <f t="shared" si="1113"/>
        <v>200.64895227957237</v>
      </c>
      <c r="J765" s="3">
        <f t="shared" si="1114"/>
        <v>24.494897427831781</v>
      </c>
      <c r="K765" s="47">
        <f t="shared" si="1115"/>
        <v>0.21395337112869622</v>
      </c>
      <c r="L765" s="3">
        <f t="shared" si="1116"/>
        <v>3</v>
      </c>
      <c r="M765" s="47">
        <f t="shared" si="1117"/>
        <v>0.45425344188682854</v>
      </c>
      <c r="N765" s="47">
        <f t="shared" si="1118"/>
        <v>402.12854767110878</v>
      </c>
      <c r="O765" s="1">
        <f t="shared" si="1119"/>
        <v>0.99722641329267858</v>
      </c>
      <c r="P765" s="1">
        <f t="shared" si="1120"/>
        <v>6.6042427494636611</v>
      </c>
      <c r="Q765" s="1">
        <f t="shared" si="1121"/>
        <v>74.457382895690614</v>
      </c>
      <c r="R765" s="1">
        <f t="shared" si="1122"/>
        <v>74.306340622375615</v>
      </c>
      <c r="S765" s="47">
        <f t="shared" si="1123"/>
        <v>135.72721494648212</v>
      </c>
      <c r="T765" s="1">
        <f t="shared" si="1124"/>
        <v>66.642936893028235</v>
      </c>
      <c r="U765" s="47">
        <f t="shared" si="1125"/>
        <v>66.5135686632713</v>
      </c>
      <c r="V765" s="47">
        <f t="shared" si="1126"/>
        <v>116.25082926848131</v>
      </c>
      <c r="W765" s="2">
        <f t="shared" si="1098"/>
        <v>999.62928005202309</v>
      </c>
      <c r="X765" s="1">
        <f t="shared" si="1127"/>
        <v>107.65069916689043</v>
      </c>
      <c r="Y765" s="1">
        <f t="shared" si="1128"/>
        <v>15.579208901395079</v>
      </c>
      <c r="Z765" s="2">
        <f t="shared" si="1129"/>
        <v>4.0686789558820369</v>
      </c>
      <c r="AA765" s="3">
        <f t="shared" si="1130"/>
        <v>1000</v>
      </c>
      <c r="AB765" s="1">
        <f t="shared" si="1073"/>
        <v>3.7085743222498024E-4</v>
      </c>
      <c r="AC765" s="1">
        <f t="shared" si="1134"/>
        <v>0</v>
      </c>
      <c r="AD765" s="64">
        <f t="shared" si="1074"/>
        <v>0</v>
      </c>
      <c r="AE765" s="1">
        <f t="shared" si="1133"/>
        <v>18.699446985445825</v>
      </c>
    </row>
    <row r="766" spans="1:31" ht="13.5" customHeight="1">
      <c r="A766" s="1">
        <v>7</v>
      </c>
      <c r="B766" s="3">
        <f t="shared" si="1107"/>
        <v>1000</v>
      </c>
      <c r="C766" s="1">
        <f t="shared" si="1108"/>
        <v>2.8565361955245318E-2</v>
      </c>
      <c r="D766" s="1">
        <f t="shared" si="1079"/>
        <v>0.846980930916019</v>
      </c>
      <c r="E766" s="1">
        <f t="shared" si="1109"/>
        <v>74.457382895690614</v>
      </c>
      <c r="F766" s="1">
        <f t="shared" si="1110"/>
        <v>20</v>
      </c>
      <c r="G766" s="1">
        <f t="shared" si="1111"/>
        <v>999.74984072112784</v>
      </c>
      <c r="H766" s="1">
        <f t="shared" si="1112"/>
        <v>66.124364860242125</v>
      </c>
      <c r="I766" s="1">
        <f t="shared" si="1113"/>
        <v>210.04459909874342</v>
      </c>
      <c r="J766" s="3">
        <f t="shared" si="1114"/>
        <v>26.457513110645905</v>
      </c>
      <c r="K766" s="47">
        <f t="shared" si="1115"/>
        <v>0.24251873308394153</v>
      </c>
      <c r="L766" s="3">
        <f t="shared" si="1116"/>
        <v>3</v>
      </c>
      <c r="M766" s="47">
        <f t="shared" si="1117"/>
        <v>0.44134437321918385</v>
      </c>
      <c r="N766" s="47">
        <f t="shared" si="1118"/>
        <v>345.89233356017934</v>
      </c>
      <c r="O766" s="1">
        <f t="shared" si="1119"/>
        <v>0.99737165783102222</v>
      </c>
      <c r="P766" s="1">
        <f t="shared" si="1120"/>
        <v>6.7974130453230384</v>
      </c>
      <c r="Q766" s="1">
        <f t="shared" si="1121"/>
        <v>74.600892724502259</v>
      </c>
      <c r="R766" s="1">
        <f t="shared" si="1122"/>
        <v>74.457382895690614</v>
      </c>
      <c r="S766" s="47">
        <f t="shared" si="1123"/>
        <v>146.17605184766899</v>
      </c>
      <c r="T766" s="1">
        <f t="shared" si="1124"/>
        <v>66.46772582314712</v>
      </c>
      <c r="U766" s="47">
        <f t="shared" si="1125"/>
        <v>66.345592739869645</v>
      </c>
      <c r="V766" s="47">
        <f t="shared" si="1126"/>
        <v>124.4021546211732</v>
      </c>
      <c r="W766" s="2">
        <f t="shared" si="1098"/>
        <v>999.75984072112783</v>
      </c>
      <c r="X766" s="1">
        <f t="shared" si="1127"/>
        <v>102.83530303888314</v>
      </c>
      <c r="Y766" s="1">
        <f t="shared" si="1128"/>
        <v>16.383465996737296</v>
      </c>
      <c r="Z766" s="2">
        <f t="shared" si="1129"/>
        <v>3.957781624502283</v>
      </c>
      <c r="AA766" s="3">
        <f t="shared" si="1130"/>
        <v>1000</v>
      </c>
      <c r="AB766" s="1">
        <f t="shared" si="1073"/>
        <v>2.4021696920617508E-4</v>
      </c>
      <c r="AC766" s="1">
        <f t="shared" si="1134"/>
        <v>0</v>
      </c>
      <c r="AD766" s="64">
        <f t="shared" si="1074"/>
        <v>0</v>
      </c>
      <c r="AE766" s="1">
        <f t="shared" si="1133"/>
        <v>18.699446985445825</v>
      </c>
    </row>
    <row r="767" spans="1:31" ht="13.5" customHeight="1">
      <c r="A767" s="1">
        <v>8</v>
      </c>
      <c r="B767" s="3">
        <f t="shared" si="1107"/>
        <v>1000</v>
      </c>
      <c r="C767" s="1">
        <f t="shared" si="1108"/>
        <v>2.7397474745526226E-2</v>
      </c>
      <c r="D767" s="1">
        <f t="shared" si="1079"/>
        <v>0.84086101633150101</v>
      </c>
      <c r="E767" s="1">
        <f t="shared" si="1109"/>
        <v>74.600892724502259</v>
      </c>
      <c r="F767" s="1">
        <f t="shared" si="1110"/>
        <v>20</v>
      </c>
      <c r="G767" s="1">
        <f t="shared" si="1111"/>
        <v>999.85298911999053</v>
      </c>
      <c r="H767" s="1">
        <f t="shared" si="1112"/>
        <v>65.911762148932226</v>
      </c>
      <c r="I767" s="1">
        <f t="shared" si="1113"/>
        <v>218.99828563505653</v>
      </c>
      <c r="J767" s="3">
        <f t="shared" si="1114"/>
        <v>28.284271247461902</v>
      </c>
      <c r="K767" s="47">
        <f t="shared" si="1115"/>
        <v>0.26991620782946774</v>
      </c>
      <c r="L767" s="3">
        <f t="shared" si="1116"/>
        <v>3</v>
      </c>
      <c r="M767" s="47">
        <f t="shared" si="1117"/>
        <v>0.42980287870934347</v>
      </c>
      <c r="N767" s="47">
        <f t="shared" si="1118"/>
        <v>302.73031192660721</v>
      </c>
      <c r="O767" s="1">
        <f t="shared" si="1119"/>
        <v>0.99748670510763016</v>
      </c>
      <c r="P767" s="1">
        <f t="shared" si="1120"/>
        <v>6.9799439431599675</v>
      </c>
      <c r="Q767" s="1">
        <f t="shared" si="1121"/>
        <v>74.738466633107407</v>
      </c>
      <c r="R767" s="1">
        <f t="shared" si="1122"/>
        <v>74.600892724502259</v>
      </c>
      <c r="S767" s="47">
        <f t="shared" si="1123"/>
        <v>155.96039636931087</v>
      </c>
      <c r="T767" s="1">
        <f t="shared" si="1124"/>
        <v>66.301557360317517</v>
      </c>
      <c r="U767" s="47">
        <f t="shared" si="1125"/>
        <v>66.185187892695069</v>
      </c>
      <c r="V767" s="47">
        <f t="shared" si="1126"/>
        <v>131.92202271270614</v>
      </c>
      <c r="W767" s="2">
        <f t="shared" si="1098"/>
        <v>999.86298911999052</v>
      </c>
      <c r="X767" s="1">
        <f t="shared" si="1127"/>
        <v>98.630909083894409</v>
      </c>
      <c r="Y767" s="1">
        <f t="shared" si="1128"/>
        <v>17.075250663857656</v>
      </c>
      <c r="Z767" s="2">
        <f t="shared" si="1129"/>
        <v>3.8601861716875399</v>
      </c>
      <c r="AA767" s="3">
        <f t="shared" si="1130"/>
        <v>1000</v>
      </c>
      <c r="AB767" s="1">
        <f t="shared" si="1073"/>
        <v>1.3702965456308114E-4</v>
      </c>
      <c r="AC767" s="1">
        <f t="shared" si="1134"/>
        <v>0</v>
      </c>
      <c r="AD767" s="64">
        <f t="shared" si="1074"/>
        <v>0</v>
      </c>
      <c r="AE767" s="1">
        <f t="shared" si="1133"/>
        <v>18.699446985445825</v>
      </c>
    </row>
    <row r="768" spans="1:31" ht="13.5" customHeight="1">
      <c r="A768" s="1">
        <v>9</v>
      </c>
      <c r="B768" s="3">
        <f t="shared" si="1107"/>
        <v>1000</v>
      </c>
      <c r="C768" s="1">
        <f t="shared" si="1108"/>
        <v>2.6362037320246955E-2</v>
      </c>
      <c r="D768" s="1">
        <f t="shared" si="1079"/>
        <v>0.83501254512041689</v>
      </c>
      <c r="E768" s="1">
        <f t="shared" si="1109"/>
        <v>74.738466633107407</v>
      </c>
      <c r="F768" s="1">
        <f t="shared" si="1110"/>
        <v>20</v>
      </c>
      <c r="G768" s="1">
        <f t="shared" si="1111"/>
        <v>999.93509578402632</v>
      </c>
      <c r="H768" s="1">
        <f t="shared" si="1112"/>
        <v>65.707306339300033</v>
      </c>
      <c r="I768" s="1">
        <f t="shared" si="1113"/>
        <v>227.6000116042546</v>
      </c>
      <c r="J768" s="3">
        <f t="shared" si="1114"/>
        <v>30</v>
      </c>
      <c r="K768" s="47">
        <f t="shared" si="1115"/>
        <v>0.29627824514971468</v>
      </c>
      <c r="L768" s="3">
        <f t="shared" si="1116"/>
        <v>3</v>
      </c>
      <c r="M768" s="47">
        <f t="shared" si="1117"/>
        <v>0.41936057346031802</v>
      </c>
      <c r="N768" s="47">
        <f t="shared" si="1118"/>
        <v>268.55083341923665</v>
      </c>
      <c r="O768" s="1">
        <f t="shared" si="1119"/>
        <v>0.99758049842848728</v>
      </c>
      <c r="P768" s="1">
        <f t="shared" si="1120"/>
        <v>7.1537483250887313</v>
      </c>
      <c r="Q768" s="1">
        <f t="shared" si="1121"/>
        <v>74.871227654648663</v>
      </c>
      <c r="R768" s="1">
        <f t="shared" si="1122"/>
        <v>74.738466633107407</v>
      </c>
      <c r="S768" s="47">
        <f t="shared" si="1123"/>
        <v>165.20365044341065</v>
      </c>
      <c r="T768" s="1">
        <f t="shared" si="1124"/>
        <v>66.142667283937953</v>
      </c>
      <c r="U768" s="47">
        <f t="shared" si="1125"/>
        <v>66.031025027930667</v>
      </c>
      <c r="V768" s="47">
        <f t="shared" si="1126"/>
        <v>138.92412111644225</v>
      </c>
      <c r="W768" s="2">
        <f t="shared" si="1098"/>
        <v>999.94509578402631</v>
      </c>
      <c r="X768" s="1">
        <f t="shared" si="1127"/>
        <v>94.903334352889033</v>
      </c>
      <c r="Y768" s="1">
        <f t="shared" si="1128"/>
        <v>17.680711287710871</v>
      </c>
      <c r="Z768" s="2">
        <f t="shared" si="1129"/>
        <v>3.7727137780979834</v>
      </c>
      <c r="AA768" s="3">
        <f t="shared" si="1130"/>
        <v>1000</v>
      </c>
      <c r="AB768" s="1">
        <f t="shared" si="1073"/>
        <v>5.490723061218894E-5</v>
      </c>
      <c r="AC768" s="1">
        <f t="shared" si="1134"/>
        <v>0</v>
      </c>
      <c r="AD768" s="64">
        <f t="shared" si="1074"/>
        <v>0</v>
      </c>
      <c r="AE768" s="1">
        <f t="shared" si="1133"/>
        <v>18.699446985445825</v>
      </c>
    </row>
    <row r="769" spans="1:31" ht="13.5" customHeight="1">
      <c r="A769" s="1">
        <v>10</v>
      </c>
      <c r="B769" s="3">
        <f t="shared" si="1107"/>
        <v>1000</v>
      </c>
      <c r="C769" s="1">
        <f t="shared" si="1108"/>
        <v>2.5433091021286876E-2</v>
      </c>
      <c r="D769" s="1">
        <f t="shared" si="1079"/>
        <v>0.82938894628255566</v>
      </c>
      <c r="E769" s="1">
        <f t="shared" si="1109"/>
        <v>74.871227654648663</v>
      </c>
      <c r="F769" s="1">
        <f t="shared" si="1110"/>
        <v>20</v>
      </c>
      <c r="G769" s="1">
        <f t="shared" si="1111"/>
        <v>1000.0006404028877</v>
      </c>
      <c r="H769" s="1">
        <f t="shared" si="1112"/>
        <v>65.509589685719277</v>
      </c>
      <c r="I769" s="1">
        <f t="shared" si="1113"/>
        <v>235.91312573757341</v>
      </c>
      <c r="J769" s="3">
        <f t="shared" si="1114"/>
        <v>31.622776601683793</v>
      </c>
      <c r="K769" s="47">
        <f t="shared" si="1115"/>
        <v>0.32171133617100156</v>
      </c>
      <c r="L769" s="3">
        <f t="shared" si="1116"/>
        <v>3</v>
      </c>
      <c r="M769" s="47">
        <f t="shared" si="1117"/>
        <v>0.40982335817961979</v>
      </c>
      <c r="N769" s="47">
        <f t="shared" si="1118"/>
        <v>240.81701544824054</v>
      </c>
      <c r="O769" s="1">
        <f t="shared" si="1119"/>
        <v>0.99765868462997587</v>
      </c>
      <c r="P769" s="1">
        <f t="shared" si="1120"/>
        <v>7.3202269712629269</v>
      </c>
      <c r="Q769" s="1">
        <f t="shared" si="1121"/>
        <v>75</v>
      </c>
      <c r="R769" s="1">
        <f t="shared" si="1122"/>
        <v>74.871227654648663</v>
      </c>
      <c r="S769" s="47">
        <f t="shared" si="1123"/>
        <v>173.9955977963665</v>
      </c>
      <c r="T769" s="1">
        <f t="shared" si="1124"/>
        <v>65.989802630616296</v>
      </c>
      <c r="U769" s="47">
        <f t="shared" si="1125"/>
        <v>65.882125998852857</v>
      </c>
      <c r="V769" s="47">
        <f t="shared" si="1126"/>
        <v>145.49133093183622</v>
      </c>
      <c r="W769" s="2">
        <f t="shared" si="1098"/>
        <v>1000.0106404028877</v>
      </c>
      <c r="X769" s="1">
        <f t="shared" si="1127"/>
        <v>91.559127676632755</v>
      </c>
      <c r="Y769" s="1">
        <f t="shared" si="1128"/>
        <v>18.217812954549345</v>
      </c>
      <c r="Z769" s="2">
        <f t="shared" si="1129"/>
        <v>3.6932326969066378</v>
      </c>
      <c r="AA769" s="3">
        <f t="shared" si="1130"/>
        <v>1000</v>
      </c>
      <c r="AB769" s="1">
        <f t="shared" si="1073"/>
        <v>-1.0640289670682535E-5</v>
      </c>
      <c r="AC769" s="1">
        <f t="shared" si="1134"/>
        <v>0</v>
      </c>
      <c r="AD769" s="64">
        <f t="shared" si="1074"/>
        <v>0</v>
      </c>
      <c r="AE769" s="1">
        <f t="shared" si="1133"/>
        <v>18.699446985445825</v>
      </c>
    </row>
    <row r="770" spans="1:31" ht="13.5" customHeight="1">
      <c r="K770" s="47"/>
      <c r="L770" s="47"/>
      <c r="M770" s="47"/>
      <c r="N770" s="47">
        <f>SUM(N760:N769)</f>
        <v>6349.723492722911</v>
      </c>
      <c r="O770" s="2" t="s">
        <v>46</v>
      </c>
      <c r="P770" s="2"/>
      <c r="Q770" s="2"/>
      <c r="R770" s="49">
        <f>R750</f>
        <v>75</v>
      </c>
      <c r="S770" s="50" t="s">
        <v>45</v>
      </c>
      <c r="T770" s="2"/>
      <c r="U770" s="11">
        <f>U769</f>
        <v>65.882125998852857</v>
      </c>
      <c r="V770" s="47"/>
      <c r="W770" s="2"/>
      <c r="Y770" s="1">
        <f>N771</f>
        <v>18.699446985445825</v>
      </c>
      <c r="AE770" s="1">
        <f t="shared" si="1133"/>
        <v>18.699446985445825</v>
      </c>
    </row>
    <row r="771" spans="1:31" ht="13.5" customHeight="1">
      <c r="K771" s="47"/>
      <c r="L771" s="2" t="s">
        <v>44</v>
      </c>
      <c r="M771" s="2"/>
      <c r="N771" s="47">
        <f>N770*2/1000+Y771</f>
        <v>18.699446985445825</v>
      </c>
      <c r="O771" s="2" t="s">
        <v>1</v>
      </c>
      <c r="P771" s="1">
        <f>SUM(P760:P769)</f>
        <v>64.28308976588292</v>
      </c>
      <c r="Q771" s="1" t="s">
        <v>43</v>
      </c>
      <c r="S771" s="47"/>
      <c r="U771" s="47"/>
      <c r="V771" s="47"/>
      <c r="W771" s="2"/>
      <c r="Y771" s="3">
        <f>Y751</f>
        <v>6</v>
      </c>
      <c r="Z771" s="3" t="s">
        <v>42</v>
      </c>
      <c r="AE771" s="1">
        <f>N771</f>
        <v>18.699446985445825</v>
      </c>
    </row>
    <row r="772" spans="1:31" ht="13.5" customHeight="1">
      <c r="L772" s="60" t="s">
        <v>41</v>
      </c>
      <c r="N772" s="3">
        <f>N752</f>
        <v>15</v>
      </c>
      <c r="O772" s="1" t="s">
        <v>1</v>
      </c>
    </row>
    <row r="775" spans="1:31" ht="13.5" customHeight="1" thickBot="1"/>
    <row r="776" spans="1:31" ht="13.5" customHeight="1">
      <c r="B776" s="14" t="s">
        <v>40</v>
      </c>
      <c r="C776" s="15"/>
      <c r="D776" s="15"/>
      <c r="E776" s="15"/>
      <c r="F776" s="15"/>
      <c r="G776" s="15"/>
      <c r="H776" s="15" t="s">
        <v>39</v>
      </c>
      <c r="I776" s="16"/>
      <c r="J776" s="14" t="s">
        <v>38</v>
      </c>
      <c r="K776" s="15"/>
      <c r="L776" s="15"/>
      <c r="M776" s="15"/>
      <c r="N776" s="15" t="s">
        <v>37</v>
      </c>
      <c r="O776" s="15"/>
      <c r="P776" s="15"/>
      <c r="Q776" s="15"/>
      <c r="R776" s="15"/>
      <c r="S776" s="16"/>
      <c r="T776" s="14" t="s">
        <v>36</v>
      </c>
      <c r="U776" s="15"/>
      <c r="V776" s="16"/>
      <c r="W776" s="14"/>
      <c r="X776" s="15"/>
      <c r="Y776" s="15"/>
      <c r="Z776" s="16"/>
    </row>
    <row r="777" spans="1:31" ht="13.5" customHeight="1">
      <c r="B777" s="17" t="s">
        <v>35</v>
      </c>
      <c r="C777" s="18" t="s">
        <v>22</v>
      </c>
      <c r="D777" s="18"/>
      <c r="E777" s="18" t="s">
        <v>34</v>
      </c>
      <c r="F777" s="18" t="s">
        <v>33</v>
      </c>
      <c r="G777" s="18" t="s">
        <v>7</v>
      </c>
      <c r="H777" s="18" t="s">
        <v>32</v>
      </c>
      <c r="I777" s="19" t="s">
        <v>22</v>
      </c>
      <c r="J777" s="17" t="s">
        <v>31</v>
      </c>
      <c r="K777" s="18"/>
      <c r="L777" s="18" t="s">
        <v>30</v>
      </c>
      <c r="M777" s="18"/>
      <c r="N777" s="18" t="s">
        <v>29</v>
      </c>
      <c r="O777" s="18"/>
      <c r="P777" s="18" t="s">
        <v>28</v>
      </c>
      <c r="Q777" s="20" t="s">
        <v>27</v>
      </c>
      <c r="R777" s="21" t="s">
        <v>26</v>
      </c>
      <c r="S777" s="22" t="s">
        <v>7</v>
      </c>
      <c r="T777" s="23" t="s">
        <v>25</v>
      </c>
      <c r="U777" s="24" t="s">
        <v>24</v>
      </c>
      <c r="V777" s="25" t="s">
        <v>7</v>
      </c>
      <c r="W777" s="26" t="s">
        <v>23</v>
      </c>
      <c r="X777" s="4" t="s">
        <v>22</v>
      </c>
      <c r="Y777" s="4" t="s">
        <v>21</v>
      </c>
      <c r="Z777" s="5" t="s">
        <v>20</v>
      </c>
    </row>
    <row r="778" spans="1:31" ht="13.5" customHeight="1">
      <c r="B778" s="54" t="s">
        <v>3</v>
      </c>
      <c r="C778" s="28" t="s">
        <v>17</v>
      </c>
      <c r="D778" s="20" t="s">
        <v>13</v>
      </c>
      <c r="E778" s="20" t="s">
        <v>19</v>
      </c>
      <c r="F778" s="28" t="s">
        <v>19</v>
      </c>
      <c r="G778" s="20" t="s">
        <v>3</v>
      </c>
      <c r="H778" s="20" t="s">
        <v>19</v>
      </c>
      <c r="I778" s="29" t="s">
        <v>12</v>
      </c>
      <c r="J778" s="55" t="s">
        <v>18</v>
      </c>
      <c r="K778" s="20" t="s">
        <v>17</v>
      </c>
      <c r="L778" s="56" t="s">
        <v>16</v>
      </c>
      <c r="M778" s="20" t="s">
        <v>15</v>
      </c>
      <c r="N778" s="20" t="s">
        <v>14</v>
      </c>
      <c r="O778" s="20" t="s">
        <v>13</v>
      </c>
      <c r="P778" s="20" t="s">
        <v>12</v>
      </c>
      <c r="Q778" s="20" t="s">
        <v>11</v>
      </c>
      <c r="R778" s="21" t="s">
        <v>11</v>
      </c>
      <c r="S778" s="22" t="s">
        <v>10</v>
      </c>
      <c r="T778" s="23" t="s">
        <v>9</v>
      </c>
      <c r="U778" s="24" t="s">
        <v>9</v>
      </c>
      <c r="V778" s="33" t="s">
        <v>8</v>
      </c>
      <c r="W778" s="34" t="s">
        <v>7</v>
      </c>
      <c r="X778" s="4" t="s">
        <v>6</v>
      </c>
      <c r="Y778" s="6" t="s">
        <v>5</v>
      </c>
      <c r="Z778" s="7" t="s">
        <v>5</v>
      </c>
    </row>
    <row r="779" spans="1:31" ht="13.5" customHeight="1" thickBot="1">
      <c r="B779" s="57"/>
      <c r="C779" s="3">
        <f>C759</f>
        <v>1.05</v>
      </c>
      <c r="D779" s="37"/>
      <c r="E779" s="38"/>
      <c r="F779" s="38"/>
      <c r="G779" s="37"/>
      <c r="H779" s="37"/>
      <c r="I779" s="39"/>
      <c r="J779" s="58" t="s">
        <v>4</v>
      </c>
      <c r="K779" s="44"/>
      <c r="L779" s="59"/>
      <c r="M779" s="37"/>
      <c r="N779" s="37"/>
      <c r="O779" s="37"/>
      <c r="P779" s="37"/>
      <c r="Q779" s="42"/>
      <c r="R779" s="42"/>
      <c r="S779" s="52" t="s">
        <v>3</v>
      </c>
      <c r="T779" s="43"/>
      <c r="U779" s="44"/>
      <c r="V779" s="39" t="s">
        <v>3</v>
      </c>
      <c r="W779" s="45" t="s">
        <v>3</v>
      </c>
      <c r="X779" s="8" t="s">
        <v>2</v>
      </c>
      <c r="Y779" s="9" t="s">
        <v>1</v>
      </c>
      <c r="Z779" s="13" t="s">
        <v>0</v>
      </c>
    </row>
    <row r="780" spans="1:31" ht="13.5" customHeight="1">
      <c r="A780" s="1">
        <v>1</v>
      </c>
      <c r="B780" s="3">
        <f t="shared" ref="B780:B789" si="1135">B760</f>
        <v>1000</v>
      </c>
      <c r="C780" s="1">
        <f t="shared" ref="C780:C789" si="1136">IF(B780&lt;1,0.000001,C760*(1+AB760))</f>
        <v>4.4618655829176894E-2</v>
      </c>
      <c r="D780" s="1">
        <f t="shared" si="1079"/>
        <v>0.8999523102492033</v>
      </c>
      <c r="E780" s="1">
        <f t="shared" ref="E780:E789" si="1137">R780</f>
        <v>73.222034564805909</v>
      </c>
      <c r="F780" s="1">
        <f t="shared" ref="F780:F789" si="1138">F760</f>
        <v>20</v>
      </c>
      <c r="G780" s="1">
        <f t="shared" ref="G780:G789" si="1139">(E780-F780)*C780*(1-D780)*4200</f>
        <v>997.84781426813754</v>
      </c>
      <c r="H780" s="1">
        <f t="shared" ref="H780:H789" si="1140">(E780-F780)*D780+F780</f>
        <v>67.897292962760019</v>
      </c>
      <c r="I780" s="1">
        <f t="shared" ref="I780:I789" si="1141">B780*0.001*6/C780</f>
        <v>134.47289902616248</v>
      </c>
      <c r="J780" s="3">
        <f t="shared" ref="J780:J789" si="1142">J760</f>
        <v>10</v>
      </c>
      <c r="K780" s="47">
        <f t="shared" ref="K780:K789" si="1143">K779+C780</f>
        <v>4.4618655829176894E-2</v>
      </c>
      <c r="L780" s="3">
        <f t="shared" ref="L780:L789" si="1144">L760</f>
        <v>3</v>
      </c>
      <c r="M780" s="47">
        <f t="shared" ref="M780:M789" si="1145">K780/(J780*J780*3.14/4000)</f>
        <v>0.56839052011690305</v>
      </c>
      <c r="N780" s="47">
        <f t="shared" ref="N780:N789" si="1146">L780*26400/J780^1.27*M780^1.83*$N$69</f>
        <v>1890.770797394287</v>
      </c>
      <c r="O780" s="1">
        <f t="shared" ref="O780:O789" si="1147">EXP(-(J780+2)*3.14/1000*$O$66/(M780*J780*J780*3.14/4000*4200)*L780)</f>
        <v>0.99398608636721086</v>
      </c>
      <c r="P780" s="1">
        <f t="shared" ref="P780:P789" si="1148">L780/M780</f>
        <v>5.2780612867768779</v>
      </c>
      <c r="Q780" s="1">
        <f t="shared" ref="Q780:Q789" si="1149">R781</f>
        <v>73.544043819888998</v>
      </c>
      <c r="R780" s="1">
        <f t="shared" ref="R780:R789" si="1150">(Q780-F780)*O780+F780</f>
        <v>73.222034564805909</v>
      </c>
      <c r="S780" s="47">
        <f t="shared" ref="S780:S789" si="1151">K780*(1-O780)*4200*(Q780-F780)</f>
        <v>60.344004530720376</v>
      </c>
      <c r="T780" s="1">
        <f t="shared" ref="T780:T789" si="1152">(U779*K779+H780*C780)/K780</f>
        <v>67.897292962760019</v>
      </c>
      <c r="U780" s="47">
        <f t="shared" ref="U780:U789" si="1153">(T780-F780)*O780+F780</f>
        <v>67.609242779637583</v>
      </c>
      <c r="V780" s="47">
        <f t="shared" ref="V780:V789" si="1154">K780*(1-O780)*4200*(T780-F780)</f>
        <v>53.980130325539982</v>
      </c>
      <c r="W780" s="2">
        <f t="shared" si="1098"/>
        <v>997.85781426813753</v>
      </c>
      <c r="X780" s="1">
        <f t="shared" ref="X780:X789" si="1155">C780*3600</f>
        <v>160.62716098503682</v>
      </c>
      <c r="Y780" s="1">
        <f t="shared" ref="Y780:Y789" si="1156">Y781-2*N780/1000</f>
        <v>5.9999999999999982</v>
      </c>
      <c r="Z780" s="2">
        <f t="shared" ref="Z780:Z789" si="1157">-1.1-1.8*LOG10(Y780/X780/X780)</f>
        <v>5.4402760897717766</v>
      </c>
      <c r="AA780" s="3">
        <f t="shared" ref="AA780:AA789" si="1158">AA760</f>
        <v>1000</v>
      </c>
      <c r="AB780" s="1">
        <f t="shared" ref="AB780" si="1159">((AA780/W780)-1)*AB$23+AC780+AD780</f>
        <v>2.1467845430800381E-3</v>
      </c>
      <c r="AC780" s="1">
        <f>((N792/N791)-1)*AB$24</f>
        <v>0</v>
      </c>
      <c r="AD780" s="64">
        <f t="shared" ref="AD780" si="1160">(AC$21-(X780/1000/SQRT(Y780/104))*1000/B780)*AB$21</f>
        <v>0</v>
      </c>
      <c r="AE780" s="1">
        <f t="shared" ref="AE780:AE790" si="1161">AE781</f>
        <v>18.739275985814995</v>
      </c>
    </row>
    <row r="781" spans="1:31" ht="13.5" customHeight="1">
      <c r="A781" s="1">
        <v>2</v>
      </c>
      <c r="B781" s="3">
        <f t="shared" si="1135"/>
        <v>1000</v>
      </c>
      <c r="C781" s="1">
        <f t="shared" si="1136"/>
        <v>3.904948655001398E-2</v>
      </c>
      <c r="D781" s="1">
        <f t="shared" si="1079"/>
        <v>0.88628323779077611</v>
      </c>
      <c r="E781" s="1">
        <f t="shared" si="1137"/>
        <v>73.544043819888998</v>
      </c>
      <c r="F781" s="1">
        <f t="shared" si="1138"/>
        <v>20</v>
      </c>
      <c r="G781" s="1">
        <f t="shared" si="1139"/>
        <v>998.62002699878144</v>
      </c>
      <c r="H781" s="1">
        <f t="shared" si="1140"/>
        <v>67.455188521102414</v>
      </c>
      <c r="I781" s="1">
        <f t="shared" si="1141"/>
        <v>153.65118802049528</v>
      </c>
      <c r="J781" s="3">
        <f t="shared" si="1142"/>
        <v>14.142135623730951</v>
      </c>
      <c r="K781" s="47">
        <f t="shared" si="1143"/>
        <v>8.3668142379190874E-2</v>
      </c>
      <c r="L781" s="3">
        <f t="shared" si="1144"/>
        <v>3</v>
      </c>
      <c r="M781" s="47">
        <f t="shared" si="1145"/>
        <v>0.53291810432605646</v>
      </c>
      <c r="N781" s="47">
        <f t="shared" si="1146"/>
        <v>1082.1060257928561</v>
      </c>
      <c r="O781" s="1">
        <f t="shared" si="1147"/>
        <v>0.99568219339358577</v>
      </c>
      <c r="P781" s="1">
        <f t="shared" si="1148"/>
        <v>5.629382780669248</v>
      </c>
      <c r="Q781" s="1">
        <f t="shared" si="1149"/>
        <v>73.776239220864966</v>
      </c>
      <c r="R781" s="1">
        <f t="shared" si="1150"/>
        <v>73.544043819888998</v>
      </c>
      <c r="S781" s="47">
        <f t="shared" si="1151"/>
        <v>81.594903048330735</v>
      </c>
      <c r="T781" s="1">
        <f t="shared" si="1152"/>
        <v>67.537342776535112</v>
      </c>
      <c r="U781" s="47">
        <f t="shared" si="1153"/>
        <v>67.332085723843221</v>
      </c>
      <c r="V781" s="47">
        <f t="shared" si="1154"/>
        <v>72.128600497628099</v>
      </c>
      <c r="W781" s="2">
        <f t="shared" si="1098"/>
        <v>998.63002699878143</v>
      </c>
      <c r="X781" s="1">
        <f t="shared" si="1155"/>
        <v>140.57815158005033</v>
      </c>
      <c r="Y781" s="1">
        <f t="shared" si="1156"/>
        <v>9.7815415947885729</v>
      </c>
      <c r="Z781" s="2">
        <f t="shared" si="1157"/>
        <v>4.8497710321064034</v>
      </c>
      <c r="AA781" s="3">
        <f t="shared" si="1158"/>
        <v>1000</v>
      </c>
      <c r="AB781" s="1">
        <f t="shared" si="1073"/>
        <v>1.3718524019710188E-3</v>
      </c>
      <c r="AC781" s="1">
        <f t="shared" ref="AC781:AC789" si="1162">AC780</f>
        <v>0</v>
      </c>
      <c r="AD781" s="64">
        <f t="shared" si="1074"/>
        <v>0</v>
      </c>
      <c r="AE781" s="1">
        <f t="shared" si="1161"/>
        <v>18.739275985814995</v>
      </c>
    </row>
    <row r="782" spans="1:31" ht="13.5" customHeight="1">
      <c r="A782" s="1">
        <v>3</v>
      </c>
      <c r="B782" s="3">
        <f t="shared" si="1135"/>
        <v>1000</v>
      </c>
      <c r="C782" s="1">
        <f t="shared" si="1136"/>
        <v>3.5765333373904203E-2</v>
      </c>
      <c r="D782" s="1">
        <f t="shared" si="1079"/>
        <v>0.8763258404682015</v>
      </c>
      <c r="E782" s="1">
        <f t="shared" si="1137"/>
        <v>73.776239220864966</v>
      </c>
      <c r="F782" s="1">
        <f t="shared" si="1138"/>
        <v>20</v>
      </c>
      <c r="G782" s="1">
        <f t="shared" si="1139"/>
        <v>999.03559616327846</v>
      </c>
      <c r="H782" s="1">
        <f t="shared" si="1140"/>
        <v>67.125508032443548</v>
      </c>
      <c r="I782" s="1">
        <f t="shared" si="1141"/>
        <v>167.76021454277389</v>
      </c>
      <c r="J782" s="3">
        <f t="shared" si="1142"/>
        <v>17.320508075688775</v>
      </c>
      <c r="K782" s="47">
        <f t="shared" si="1143"/>
        <v>0.11943347575309507</v>
      </c>
      <c r="L782" s="3">
        <f t="shared" si="1144"/>
        <v>3</v>
      </c>
      <c r="M782" s="47">
        <f t="shared" si="1145"/>
        <v>0.50714851699828045</v>
      </c>
      <c r="N782" s="47">
        <f t="shared" si="1146"/>
        <v>763.94226926024601</v>
      </c>
      <c r="O782" s="1">
        <f t="shared" si="1147"/>
        <v>0.99637835011597853</v>
      </c>
      <c r="P782" s="1">
        <f t="shared" si="1148"/>
        <v>5.9154269399355686</v>
      </c>
      <c r="Q782" s="1">
        <f t="shared" si="1149"/>
        <v>73.971705843071959</v>
      </c>
      <c r="R782" s="1">
        <f t="shared" si="1150"/>
        <v>73.776239220864966</v>
      </c>
      <c r="S782" s="47">
        <f t="shared" si="1151"/>
        <v>98.050083952377619</v>
      </c>
      <c r="T782" s="1">
        <f t="shared" si="1152"/>
        <v>67.270224340726543</v>
      </c>
      <c r="U782" s="47">
        <f t="shared" si="1153"/>
        <v>67.099028138225279</v>
      </c>
      <c r="V782" s="47">
        <f t="shared" si="1154"/>
        <v>85.875541501916615</v>
      </c>
      <c r="W782" s="2">
        <f t="shared" si="1098"/>
        <v>999.04559616327845</v>
      </c>
      <c r="X782" s="1">
        <f t="shared" si="1155"/>
        <v>128.75520014605513</v>
      </c>
      <c r="Y782" s="1">
        <f t="shared" si="1156"/>
        <v>11.945753646374285</v>
      </c>
      <c r="Z782" s="2">
        <f t="shared" si="1157"/>
        <v>4.5561688043144795</v>
      </c>
      <c r="AA782" s="3">
        <f t="shared" si="1158"/>
        <v>1000</v>
      </c>
      <c r="AB782" s="1">
        <f t="shared" si="1073"/>
        <v>9.5531559358930096E-4</v>
      </c>
      <c r="AC782" s="1">
        <f t="shared" si="1162"/>
        <v>0</v>
      </c>
      <c r="AD782" s="64">
        <f t="shared" si="1074"/>
        <v>0</v>
      </c>
      <c r="AE782" s="1">
        <f t="shared" si="1161"/>
        <v>18.739275985814995</v>
      </c>
    </row>
    <row r="783" spans="1:31" ht="13.5" customHeight="1">
      <c r="A783" s="1">
        <v>4</v>
      </c>
      <c r="B783" s="3">
        <f t="shared" si="1135"/>
        <v>1000</v>
      </c>
      <c r="C783" s="1">
        <f t="shared" si="1136"/>
        <v>3.3376022798968605E-2</v>
      </c>
      <c r="D783" s="1">
        <f t="shared" si="1079"/>
        <v>0.86791562047697457</v>
      </c>
      <c r="E783" s="1">
        <f t="shared" si="1137"/>
        <v>73.971705843071959</v>
      </c>
      <c r="F783" s="1">
        <f t="shared" si="1138"/>
        <v>20</v>
      </c>
      <c r="G783" s="1">
        <f t="shared" si="1139"/>
        <v>999.31286597088206</v>
      </c>
      <c r="H783" s="1">
        <f t="shared" si="1140"/>
        <v>66.84288656499055</v>
      </c>
      <c r="I783" s="1">
        <f t="shared" si="1141"/>
        <v>179.76977173521746</v>
      </c>
      <c r="J783" s="3">
        <f t="shared" si="1142"/>
        <v>20</v>
      </c>
      <c r="K783" s="47">
        <f t="shared" si="1143"/>
        <v>0.15280949855206366</v>
      </c>
      <c r="L783" s="3">
        <f t="shared" si="1144"/>
        <v>3</v>
      </c>
      <c r="M783" s="47">
        <f t="shared" si="1145"/>
        <v>0.48665445398746388</v>
      </c>
      <c r="N783" s="47">
        <f t="shared" si="1146"/>
        <v>590.12088586711593</v>
      </c>
      <c r="O783" s="1">
        <f t="shared" si="1147"/>
        <v>0.99677616390583168</v>
      </c>
      <c r="P783" s="1">
        <f t="shared" si="1148"/>
        <v>6.1645382579346109</v>
      </c>
      <c r="Q783" s="1">
        <f t="shared" si="1149"/>
        <v>74.146264525012072</v>
      </c>
      <c r="R783" s="1">
        <f t="shared" si="1150"/>
        <v>73.971705843071959</v>
      </c>
      <c r="S783" s="47">
        <f t="shared" si="1151"/>
        <v>112.03174355175115</v>
      </c>
      <c r="T783" s="1">
        <f t="shared" si="1152"/>
        <v>67.043082748252473</v>
      </c>
      <c r="U783" s="47">
        <f t="shared" si="1153"/>
        <v>66.891423560107711</v>
      </c>
      <c r="V783" s="47">
        <f t="shared" si="1154"/>
        <v>97.334850863100328</v>
      </c>
      <c r="W783" s="2">
        <f t="shared" si="1098"/>
        <v>999.32286597088205</v>
      </c>
      <c r="X783" s="1">
        <f t="shared" si="1155"/>
        <v>120.15368207628698</v>
      </c>
      <c r="Y783" s="1">
        <f t="shared" si="1156"/>
        <v>13.473638184894778</v>
      </c>
      <c r="Z783" s="2">
        <f t="shared" si="1157"/>
        <v>4.353980717561118</v>
      </c>
      <c r="AA783" s="3">
        <f t="shared" si="1158"/>
        <v>1000</v>
      </c>
      <c r="AB783" s="1">
        <f t="shared" si="1073"/>
        <v>6.7759285029467264E-4</v>
      </c>
      <c r="AC783" s="1">
        <f t="shared" si="1162"/>
        <v>0</v>
      </c>
      <c r="AD783" s="64">
        <f t="shared" si="1074"/>
        <v>0</v>
      </c>
      <c r="AE783" s="1">
        <f t="shared" si="1161"/>
        <v>18.739275985814995</v>
      </c>
    </row>
    <row r="784" spans="1:31" ht="13.5" customHeight="1">
      <c r="A784" s="1">
        <v>5</v>
      </c>
      <c r="B784" s="3">
        <f t="shared" si="1135"/>
        <v>1000</v>
      </c>
      <c r="C784" s="1">
        <f t="shared" si="1136"/>
        <v>3.1483924018089436E-2</v>
      </c>
      <c r="D784" s="1">
        <f t="shared" si="1079"/>
        <v>0.86040108286167616</v>
      </c>
      <c r="E784" s="1">
        <f t="shared" si="1137"/>
        <v>74.146264525012072</v>
      </c>
      <c r="F784" s="1">
        <f t="shared" si="1138"/>
        <v>20</v>
      </c>
      <c r="G784" s="1">
        <f t="shared" si="1139"/>
        <v>999.5135732321811</v>
      </c>
      <c r="H784" s="1">
        <f t="shared" si="1140"/>
        <v>66.587504630235145</v>
      </c>
      <c r="I784" s="1">
        <f t="shared" si="1141"/>
        <v>190.57344937539023</v>
      </c>
      <c r="J784" s="3">
        <f t="shared" si="1142"/>
        <v>22.360679774997898</v>
      </c>
      <c r="K784" s="47">
        <f t="shared" si="1143"/>
        <v>0.1842934225701531</v>
      </c>
      <c r="L784" s="3">
        <f t="shared" si="1144"/>
        <v>3</v>
      </c>
      <c r="M784" s="47">
        <f t="shared" si="1145"/>
        <v>0.46953738234433906</v>
      </c>
      <c r="N784" s="47">
        <f t="shared" si="1146"/>
        <v>479.67342815719491</v>
      </c>
      <c r="O784" s="1">
        <f t="shared" si="1147"/>
        <v>0.9970396874808124</v>
      </c>
      <c r="P784" s="1">
        <f t="shared" si="1148"/>
        <v>6.3892676340729047</v>
      </c>
      <c r="Q784" s="1">
        <f t="shared" si="1149"/>
        <v>74.307030306708924</v>
      </c>
      <c r="R784" s="1">
        <f t="shared" si="1150"/>
        <v>74.146264525012072</v>
      </c>
      <c r="S784" s="47">
        <f t="shared" si="1151"/>
        <v>124.43791979253071</v>
      </c>
      <c r="T784" s="1">
        <f t="shared" si="1152"/>
        <v>66.83950331052786</v>
      </c>
      <c r="U784" s="47">
        <f t="shared" si="1153"/>
        <v>66.700843742485176</v>
      </c>
      <c r="V784" s="47">
        <f t="shared" si="1154"/>
        <v>107.32699474007869</v>
      </c>
      <c r="W784" s="2">
        <f t="shared" si="1098"/>
        <v>999.52357323218109</v>
      </c>
      <c r="X784" s="1">
        <f t="shared" si="1155"/>
        <v>113.34212646512196</v>
      </c>
      <c r="Y784" s="1">
        <f t="shared" si="1156"/>
        <v>14.653879956629011</v>
      </c>
      <c r="Z784" s="2">
        <f t="shared" si="1157"/>
        <v>4.1970941498646539</v>
      </c>
      <c r="AA784" s="3">
        <f t="shared" si="1158"/>
        <v>1000</v>
      </c>
      <c r="AB784" s="1">
        <f t="shared" ref="AB784:AB847" si="1163">((AA784/W784)-1)*AB$23+AC784+AD784</f>
        <v>4.7665385847617259E-4</v>
      </c>
      <c r="AC784" s="1">
        <f t="shared" si="1162"/>
        <v>0</v>
      </c>
      <c r="AD784" s="64">
        <f t="shared" ref="AD784:AD847" si="1164">(AC$21-(X784/1000/SQRT(Y784/104))*1000/B784)*AB$21</f>
        <v>0</v>
      </c>
      <c r="AE784" s="1">
        <f t="shared" si="1161"/>
        <v>18.739275985814995</v>
      </c>
    </row>
    <row r="785" spans="1:31" ht="13.5" customHeight="1">
      <c r="A785" s="1">
        <v>6</v>
      </c>
      <c r="B785" s="3">
        <f t="shared" si="1135"/>
        <v>1000</v>
      </c>
      <c r="C785" s="1">
        <f t="shared" si="1136"/>
        <v>2.9914061730211303E-2</v>
      </c>
      <c r="D785" s="1">
        <f t="shared" si="1079"/>
        <v>0.85348781374838267</v>
      </c>
      <c r="E785" s="1">
        <f t="shared" si="1137"/>
        <v>74.307030306708924</v>
      </c>
      <c r="F785" s="1">
        <f t="shared" si="1138"/>
        <v>20</v>
      </c>
      <c r="G785" s="1">
        <f t="shared" si="1139"/>
        <v>999.66498302025116</v>
      </c>
      <c r="H785" s="1">
        <f t="shared" si="1140"/>
        <v>66.350388567640152</v>
      </c>
      <c r="I785" s="1">
        <f t="shared" si="1141"/>
        <v>200.57456771042166</v>
      </c>
      <c r="J785" s="3">
        <f t="shared" si="1142"/>
        <v>24.494897427831781</v>
      </c>
      <c r="K785" s="47">
        <f t="shared" si="1143"/>
        <v>0.2142074843003644</v>
      </c>
      <c r="L785" s="3">
        <f t="shared" si="1144"/>
        <v>3</v>
      </c>
      <c r="M785" s="47">
        <f t="shared" si="1145"/>
        <v>0.45479296029801364</v>
      </c>
      <c r="N785" s="47">
        <f t="shared" si="1146"/>
        <v>403.00300381496913</v>
      </c>
      <c r="O785" s="1">
        <f t="shared" si="1147"/>
        <v>0.99722969902171477</v>
      </c>
      <c r="P785" s="1">
        <f t="shared" si="1148"/>
        <v>6.5964081722684984</v>
      </c>
      <c r="Q785" s="1">
        <f t="shared" si="1149"/>
        <v>74.457895066687527</v>
      </c>
      <c r="R785" s="1">
        <f t="shared" si="1150"/>
        <v>74.307030306708924</v>
      </c>
      <c r="S785" s="47">
        <f t="shared" si="1151"/>
        <v>135.72871495929482</v>
      </c>
      <c r="T785" s="1">
        <f t="shared" si="1152"/>
        <v>66.651902699326826</v>
      </c>
      <c r="U785" s="47">
        <f t="shared" si="1153"/>
        <v>66.52266288764001</v>
      </c>
      <c r="V785" s="47">
        <f t="shared" si="1154"/>
        <v>116.2733667181169</v>
      </c>
      <c r="W785" s="2">
        <f t="shared" si="1098"/>
        <v>999.67498302025115</v>
      </c>
      <c r="X785" s="1">
        <f t="shared" si="1155"/>
        <v>107.69062222876069</v>
      </c>
      <c r="Y785" s="1">
        <f t="shared" si="1156"/>
        <v>15.613226812943401</v>
      </c>
      <c r="Z785" s="2">
        <f t="shared" si="1157"/>
        <v>4.0675535869159738</v>
      </c>
      <c r="AA785" s="3">
        <f t="shared" si="1158"/>
        <v>1000</v>
      </c>
      <c r="AB785" s="1">
        <f t="shared" si="1163"/>
        <v>3.2512265013062702E-4</v>
      </c>
      <c r="AC785" s="1">
        <f t="shared" si="1162"/>
        <v>0</v>
      </c>
      <c r="AD785" s="64">
        <f t="shared" si="1164"/>
        <v>0</v>
      </c>
      <c r="AE785" s="1">
        <f t="shared" si="1161"/>
        <v>18.739275985814995</v>
      </c>
    </row>
    <row r="786" spans="1:31" ht="13.5" customHeight="1">
      <c r="A786" s="1">
        <v>7</v>
      </c>
      <c r="B786" s="3">
        <f t="shared" si="1135"/>
        <v>1000</v>
      </c>
      <c r="C786" s="1">
        <f t="shared" si="1136"/>
        <v>2.8572223839918483E-2</v>
      </c>
      <c r="D786" s="1">
        <f t="shared" si="1079"/>
        <v>0.84701421385494291</v>
      </c>
      <c r="E786" s="1">
        <f t="shared" si="1137"/>
        <v>74.457895066687527</v>
      </c>
      <c r="F786" s="1">
        <f t="shared" si="1138"/>
        <v>20</v>
      </c>
      <c r="G786" s="1">
        <f t="shared" si="1139"/>
        <v>999.78189418160605</v>
      </c>
      <c r="H786" s="1">
        <f t="shared" si="1140"/>
        <v>66.126611178105307</v>
      </c>
      <c r="I786" s="1">
        <f t="shared" si="1141"/>
        <v>209.99415493929288</v>
      </c>
      <c r="J786" s="3">
        <f t="shared" si="1142"/>
        <v>26.457513110645905</v>
      </c>
      <c r="K786" s="47">
        <f t="shared" si="1143"/>
        <v>0.24277970814028288</v>
      </c>
      <c r="L786" s="3">
        <f t="shared" si="1144"/>
        <v>3</v>
      </c>
      <c r="M786" s="47">
        <f t="shared" si="1145"/>
        <v>0.44181930507785783</v>
      </c>
      <c r="N786" s="47">
        <f t="shared" si="1146"/>
        <v>346.57379239836865</v>
      </c>
      <c r="O786" s="1">
        <f t="shared" si="1147"/>
        <v>0.99737447944448165</v>
      </c>
      <c r="P786" s="1">
        <f t="shared" si="1148"/>
        <v>6.7901061939141325</v>
      </c>
      <c r="Q786" s="1">
        <f t="shared" si="1149"/>
        <v>74.601251775581346</v>
      </c>
      <c r="R786" s="1">
        <f t="shared" si="1150"/>
        <v>74.457895066687527</v>
      </c>
      <c r="S786" s="47">
        <f t="shared" si="1151"/>
        <v>146.17721976981252</v>
      </c>
      <c r="T786" s="1">
        <f t="shared" si="1152"/>
        <v>66.476052410250077</v>
      </c>
      <c r="U786" s="47">
        <f t="shared" si="1153"/>
        <v>66.354028579307624</v>
      </c>
      <c r="V786" s="47">
        <f t="shared" si="1154"/>
        <v>124.42462226195209</v>
      </c>
      <c r="W786" s="2">
        <f t="shared" si="1098"/>
        <v>999.79189418160604</v>
      </c>
      <c r="X786" s="1">
        <f t="shared" si="1155"/>
        <v>102.86000582370654</v>
      </c>
      <c r="Y786" s="1">
        <f t="shared" si="1156"/>
        <v>16.419232820573338</v>
      </c>
      <c r="Z786" s="2">
        <f t="shared" si="1157"/>
        <v>3.9564524105005661</v>
      </c>
      <c r="AA786" s="3">
        <f t="shared" si="1158"/>
        <v>1000</v>
      </c>
      <c r="AB786" s="1">
        <f t="shared" si="1163"/>
        <v>2.0814913544020541E-4</v>
      </c>
      <c r="AC786" s="1">
        <f t="shared" si="1162"/>
        <v>0</v>
      </c>
      <c r="AD786" s="64">
        <f t="shared" si="1164"/>
        <v>0</v>
      </c>
      <c r="AE786" s="1">
        <f t="shared" si="1161"/>
        <v>18.739275985814995</v>
      </c>
    </row>
    <row r="787" spans="1:31" ht="13.5" customHeight="1">
      <c r="A787" s="1">
        <v>8</v>
      </c>
      <c r="B787" s="3">
        <f t="shared" si="1135"/>
        <v>1000</v>
      </c>
      <c r="C787" s="1">
        <f t="shared" si="1136"/>
        <v>2.7401229012026507E-2</v>
      </c>
      <c r="D787" s="1">
        <f t="shared" si="1079"/>
        <v>0.8408806227771557</v>
      </c>
      <c r="E787" s="1">
        <f t="shared" si="1137"/>
        <v>74.601251775581346</v>
      </c>
      <c r="F787" s="1">
        <f t="shared" si="1138"/>
        <v>20</v>
      </c>
      <c r="G787" s="1">
        <f t="shared" si="1139"/>
        <v>999.87337161994378</v>
      </c>
      <c r="H787" s="1">
        <f t="shared" si="1140"/>
        <v>65.913134597463113</v>
      </c>
      <c r="I787" s="1">
        <f t="shared" si="1141"/>
        <v>218.96828048722108</v>
      </c>
      <c r="J787" s="3">
        <f t="shared" si="1142"/>
        <v>28.284271247461902</v>
      </c>
      <c r="K787" s="47">
        <f t="shared" si="1143"/>
        <v>0.2701809371523094</v>
      </c>
      <c r="L787" s="3">
        <f t="shared" si="1144"/>
        <v>3</v>
      </c>
      <c r="M787" s="47">
        <f t="shared" si="1145"/>
        <v>0.43022442221705309</v>
      </c>
      <c r="N787" s="47">
        <f t="shared" si="1146"/>
        <v>303.27388358678746</v>
      </c>
      <c r="O787" s="1">
        <f t="shared" si="1147"/>
        <v>0.99748916459599546</v>
      </c>
      <c r="P787" s="1">
        <f t="shared" si="1148"/>
        <v>6.9731048380290837</v>
      </c>
      <c r="Q787" s="1">
        <f t="shared" si="1149"/>
        <v>74.738691620470917</v>
      </c>
      <c r="R787" s="1">
        <f t="shared" si="1150"/>
        <v>74.601251775581346</v>
      </c>
      <c r="S787" s="47">
        <f t="shared" si="1151"/>
        <v>155.96122959618907</v>
      </c>
      <c r="T787" s="1">
        <f t="shared" si="1152"/>
        <v>66.309313962895828</v>
      </c>
      <c r="U787" s="47">
        <f t="shared" si="1153"/>
        <v>66.193038897862635</v>
      </c>
      <c r="V787" s="47">
        <f t="shared" si="1154"/>
        <v>131.9442853600867</v>
      </c>
      <c r="W787" s="2">
        <f t="shared" si="1098"/>
        <v>999.88337161994377</v>
      </c>
      <c r="X787" s="1">
        <f t="shared" si="1155"/>
        <v>98.644424443295421</v>
      </c>
      <c r="Y787" s="1">
        <f t="shared" si="1156"/>
        <v>17.112380405370075</v>
      </c>
      <c r="Z787" s="2">
        <f t="shared" si="1157"/>
        <v>3.858702388756075</v>
      </c>
      <c r="AA787" s="3">
        <f t="shared" si="1158"/>
        <v>1000</v>
      </c>
      <c r="AB787" s="1">
        <f t="shared" si="1163"/>
        <v>1.1664198382188573E-4</v>
      </c>
      <c r="AC787" s="1">
        <f t="shared" si="1162"/>
        <v>0</v>
      </c>
      <c r="AD787" s="64">
        <f t="shared" si="1164"/>
        <v>0</v>
      </c>
      <c r="AE787" s="1">
        <f t="shared" si="1161"/>
        <v>18.739275985814995</v>
      </c>
    </row>
    <row r="788" spans="1:31" ht="13.5" customHeight="1">
      <c r="A788" s="1">
        <v>9</v>
      </c>
      <c r="B788" s="3">
        <f t="shared" si="1135"/>
        <v>1000</v>
      </c>
      <c r="C788" s="1">
        <f t="shared" si="1136"/>
        <v>2.6363484786709506E-2</v>
      </c>
      <c r="D788" s="1">
        <f t="shared" si="1079"/>
        <v>0.83502057708164024</v>
      </c>
      <c r="E788" s="1">
        <f t="shared" si="1137"/>
        <v>74.738691620470917</v>
      </c>
      <c r="F788" s="1">
        <f t="shared" si="1138"/>
        <v>20</v>
      </c>
      <c r="G788" s="1">
        <f t="shared" si="1139"/>
        <v>999.94542766642599</v>
      </c>
      <c r="H788" s="1">
        <f t="shared" si="1140"/>
        <v>65.707933865619566</v>
      </c>
      <c r="I788" s="1">
        <f t="shared" si="1141"/>
        <v>227.58751540406186</v>
      </c>
      <c r="J788" s="3">
        <f t="shared" si="1142"/>
        <v>30</v>
      </c>
      <c r="K788" s="47">
        <f t="shared" si="1143"/>
        <v>0.29654442193901892</v>
      </c>
      <c r="L788" s="3">
        <f t="shared" si="1144"/>
        <v>3</v>
      </c>
      <c r="M788" s="47">
        <f t="shared" si="1145"/>
        <v>0.4197373275853063</v>
      </c>
      <c r="N788" s="47">
        <f t="shared" si="1146"/>
        <v>268.99251561705694</v>
      </c>
      <c r="O788" s="1">
        <f t="shared" si="1147"/>
        <v>0.99758266753397307</v>
      </c>
      <c r="P788" s="1">
        <f t="shared" si="1148"/>
        <v>7.1473271563875578</v>
      </c>
      <c r="Q788" s="1">
        <f t="shared" si="1149"/>
        <v>74.871333877306739</v>
      </c>
      <c r="R788" s="1">
        <f t="shared" si="1150"/>
        <v>74.738691620470917</v>
      </c>
      <c r="S788" s="47">
        <f t="shared" si="1151"/>
        <v>165.20414978786991</v>
      </c>
      <c r="T788" s="1">
        <f t="shared" si="1152"/>
        <v>66.149911938826037</v>
      </c>
      <c r="U788" s="47">
        <f t="shared" si="1153"/>
        <v>66.038352258392024</v>
      </c>
      <c r="V788" s="47">
        <f t="shared" si="1154"/>
        <v>138.94608397321943</v>
      </c>
      <c r="W788" s="2">
        <f t="shared" si="1098"/>
        <v>999.95542766642598</v>
      </c>
      <c r="X788" s="1">
        <f t="shared" si="1155"/>
        <v>94.908545232154225</v>
      </c>
      <c r="Y788" s="1">
        <f t="shared" si="1156"/>
        <v>17.718928172543649</v>
      </c>
      <c r="Z788" s="2">
        <f t="shared" si="1157"/>
        <v>3.7711117337849456</v>
      </c>
      <c r="AA788" s="3">
        <f t="shared" si="1158"/>
        <v>1000</v>
      </c>
      <c r="AB788" s="1">
        <f t="shared" si="1163"/>
        <v>4.4574320355428299E-5</v>
      </c>
      <c r="AC788" s="1">
        <f t="shared" si="1162"/>
        <v>0</v>
      </c>
      <c r="AD788" s="64">
        <f t="shared" si="1164"/>
        <v>0</v>
      </c>
      <c r="AE788" s="1">
        <f t="shared" si="1161"/>
        <v>18.739275985814995</v>
      </c>
    </row>
    <row r="789" spans="1:31" ht="13.5" customHeight="1">
      <c r="A789" s="1">
        <v>10</v>
      </c>
      <c r="B789" s="3">
        <f t="shared" si="1135"/>
        <v>1000</v>
      </c>
      <c r="C789" s="1">
        <f t="shared" si="1136"/>
        <v>2.543282040583119E-2</v>
      </c>
      <c r="D789" s="1">
        <f t="shared" si="1079"/>
        <v>0.82938718145249213</v>
      </c>
      <c r="E789" s="1">
        <f t="shared" si="1137"/>
        <v>74.871333877306739</v>
      </c>
      <c r="F789" s="1">
        <f t="shared" si="1138"/>
        <v>20</v>
      </c>
      <c r="G789" s="1">
        <f t="shared" si="1139"/>
        <v>1000.0022800290037</v>
      </c>
      <c r="H789" s="1">
        <f t="shared" si="1140"/>
        <v>65.509580947038074</v>
      </c>
      <c r="I789" s="1">
        <f t="shared" si="1141"/>
        <v>235.91563594827772</v>
      </c>
      <c r="J789" s="3">
        <f t="shared" si="1142"/>
        <v>31.622776601683793</v>
      </c>
      <c r="K789" s="47">
        <f t="shared" si="1143"/>
        <v>0.32197724234485009</v>
      </c>
      <c r="L789" s="3">
        <f t="shared" si="1144"/>
        <v>3</v>
      </c>
      <c r="M789" s="47">
        <f t="shared" si="1145"/>
        <v>0.4101620921590447</v>
      </c>
      <c r="N789" s="47">
        <f t="shared" si="1146"/>
        <v>241.18139101861499</v>
      </c>
      <c r="O789" s="1">
        <f t="shared" si="1147"/>
        <v>0.99766061595103173</v>
      </c>
      <c r="P789" s="1">
        <f t="shared" si="1148"/>
        <v>7.3141815329845699</v>
      </c>
      <c r="Q789" s="1">
        <f t="shared" si="1149"/>
        <v>75</v>
      </c>
      <c r="R789" s="1">
        <f t="shared" si="1150"/>
        <v>74.871333877306739</v>
      </c>
      <c r="S789" s="47">
        <f t="shared" si="1151"/>
        <v>173.99576614550926</v>
      </c>
      <c r="T789" s="1">
        <f t="shared" si="1152"/>
        <v>65.996584878500585</v>
      </c>
      <c r="U789" s="47">
        <f t="shared" si="1153"/>
        <v>65.888981201528807</v>
      </c>
      <c r="V789" s="47">
        <f t="shared" si="1154"/>
        <v>145.51292774566647</v>
      </c>
      <c r="W789" s="2">
        <f t="shared" si="1098"/>
        <v>1000.0122800290037</v>
      </c>
      <c r="X789" s="1">
        <f t="shared" si="1155"/>
        <v>91.558153460992287</v>
      </c>
      <c r="Y789" s="1">
        <f t="shared" si="1156"/>
        <v>18.256913203777763</v>
      </c>
      <c r="Z789" s="2">
        <f t="shared" si="1157"/>
        <v>3.6915400594137844</v>
      </c>
      <c r="AA789" s="3">
        <f t="shared" si="1158"/>
        <v>1000</v>
      </c>
      <c r="AB789" s="1">
        <f t="shared" si="1163"/>
        <v>-1.2279878206400419E-5</v>
      </c>
      <c r="AC789" s="1">
        <f t="shared" si="1162"/>
        <v>0</v>
      </c>
      <c r="AD789" s="64">
        <f t="shared" si="1164"/>
        <v>0</v>
      </c>
      <c r="AE789" s="1">
        <f t="shared" si="1161"/>
        <v>18.739275985814995</v>
      </c>
    </row>
    <row r="790" spans="1:31" ht="13.5" customHeight="1">
      <c r="K790" s="47"/>
      <c r="L790" s="47"/>
      <c r="M790" s="47"/>
      <c r="N790" s="47">
        <f>SUM(N780:N789)</f>
        <v>6369.6379929074974</v>
      </c>
      <c r="O790" s="2" t="s">
        <v>46</v>
      </c>
      <c r="P790" s="2"/>
      <c r="Q790" s="2"/>
      <c r="R790" s="49">
        <f>R770</f>
        <v>75</v>
      </c>
      <c r="S790" s="50" t="s">
        <v>45</v>
      </c>
      <c r="T790" s="2"/>
      <c r="U790" s="11">
        <f>U789</f>
        <v>65.888981201528807</v>
      </c>
      <c r="V790" s="47"/>
      <c r="W790" s="2"/>
      <c r="Y790" s="1">
        <f>N791</f>
        <v>18.739275985814995</v>
      </c>
      <c r="AE790" s="1">
        <f t="shared" si="1161"/>
        <v>18.739275985814995</v>
      </c>
    </row>
    <row r="791" spans="1:31" ht="13.5" customHeight="1">
      <c r="K791" s="47"/>
      <c r="L791" s="2" t="s">
        <v>44</v>
      </c>
      <c r="M791" s="2"/>
      <c r="N791" s="47">
        <f>N790*2/1000+Y791</f>
        <v>18.739275985814995</v>
      </c>
      <c r="O791" s="2" t="s">
        <v>1</v>
      </c>
      <c r="P791" s="1">
        <f>SUM(P780:P789)</f>
        <v>64.197804792973045</v>
      </c>
      <c r="Q791" s="1" t="s">
        <v>43</v>
      </c>
      <c r="S791" s="47"/>
      <c r="U791" s="47"/>
      <c r="V791" s="47"/>
      <c r="W791" s="2"/>
      <c r="Y791" s="3">
        <f>Y771</f>
        <v>6</v>
      </c>
      <c r="Z791" s="3" t="s">
        <v>42</v>
      </c>
      <c r="AE791" s="1">
        <f>N791</f>
        <v>18.739275985814995</v>
      </c>
    </row>
    <row r="792" spans="1:31" ht="13.5" customHeight="1">
      <c r="L792" s="60" t="s">
        <v>41</v>
      </c>
      <c r="N792" s="3">
        <f>N772</f>
        <v>15</v>
      </c>
      <c r="O792" s="1" t="s">
        <v>1</v>
      </c>
    </row>
    <row r="795" spans="1:31" ht="13.5" customHeight="1" thickBot="1"/>
    <row r="796" spans="1:31" ht="13.5" customHeight="1">
      <c r="B796" s="14" t="s">
        <v>40</v>
      </c>
      <c r="C796" s="15"/>
      <c r="D796" s="15"/>
      <c r="E796" s="15"/>
      <c r="F796" s="15"/>
      <c r="G796" s="15"/>
      <c r="H796" s="15" t="s">
        <v>39</v>
      </c>
      <c r="I796" s="16"/>
      <c r="J796" s="14" t="s">
        <v>38</v>
      </c>
      <c r="K796" s="15"/>
      <c r="L796" s="15"/>
      <c r="M796" s="15"/>
      <c r="N796" s="15" t="s">
        <v>37</v>
      </c>
      <c r="O796" s="15"/>
      <c r="P796" s="15"/>
      <c r="Q796" s="15"/>
      <c r="R796" s="15"/>
      <c r="S796" s="16"/>
      <c r="T796" s="14" t="s">
        <v>36</v>
      </c>
      <c r="U796" s="15"/>
      <c r="V796" s="16"/>
      <c r="W796" s="14"/>
      <c r="X796" s="15"/>
      <c r="Y796" s="15"/>
      <c r="Z796" s="16"/>
    </row>
    <row r="797" spans="1:31" ht="13.5" customHeight="1">
      <c r="B797" s="17" t="s">
        <v>35</v>
      </c>
      <c r="C797" s="18" t="s">
        <v>22</v>
      </c>
      <c r="D797" s="18"/>
      <c r="E797" s="18" t="s">
        <v>34</v>
      </c>
      <c r="F797" s="18" t="s">
        <v>33</v>
      </c>
      <c r="G797" s="18" t="s">
        <v>7</v>
      </c>
      <c r="H797" s="18" t="s">
        <v>32</v>
      </c>
      <c r="I797" s="19" t="s">
        <v>22</v>
      </c>
      <c r="J797" s="17" t="s">
        <v>31</v>
      </c>
      <c r="K797" s="18"/>
      <c r="L797" s="18" t="s">
        <v>30</v>
      </c>
      <c r="M797" s="18"/>
      <c r="N797" s="18" t="s">
        <v>29</v>
      </c>
      <c r="O797" s="18"/>
      <c r="P797" s="18" t="s">
        <v>28</v>
      </c>
      <c r="Q797" s="20" t="s">
        <v>27</v>
      </c>
      <c r="R797" s="21" t="s">
        <v>26</v>
      </c>
      <c r="S797" s="22" t="s">
        <v>7</v>
      </c>
      <c r="T797" s="23" t="s">
        <v>25</v>
      </c>
      <c r="U797" s="24" t="s">
        <v>24</v>
      </c>
      <c r="V797" s="25" t="s">
        <v>7</v>
      </c>
      <c r="W797" s="26" t="s">
        <v>23</v>
      </c>
      <c r="X797" s="4" t="s">
        <v>22</v>
      </c>
      <c r="Y797" s="4" t="s">
        <v>21</v>
      </c>
      <c r="Z797" s="5" t="s">
        <v>20</v>
      </c>
    </row>
    <row r="798" spans="1:31" ht="13.5" customHeight="1">
      <c r="B798" s="54" t="s">
        <v>3</v>
      </c>
      <c r="C798" s="28" t="s">
        <v>17</v>
      </c>
      <c r="D798" s="20" t="s">
        <v>13</v>
      </c>
      <c r="E798" s="20" t="s">
        <v>19</v>
      </c>
      <c r="F798" s="28" t="s">
        <v>19</v>
      </c>
      <c r="G798" s="20" t="s">
        <v>3</v>
      </c>
      <c r="H798" s="20" t="s">
        <v>19</v>
      </c>
      <c r="I798" s="29" t="s">
        <v>12</v>
      </c>
      <c r="J798" s="55" t="s">
        <v>18</v>
      </c>
      <c r="K798" s="20" t="s">
        <v>17</v>
      </c>
      <c r="L798" s="56" t="s">
        <v>16</v>
      </c>
      <c r="M798" s="20" t="s">
        <v>15</v>
      </c>
      <c r="N798" s="20" t="s">
        <v>14</v>
      </c>
      <c r="O798" s="20" t="s">
        <v>13</v>
      </c>
      <c r="P798" s="20" t="s">
        <v>12</v>
      </c>
      <c r="Q798" s="20" t="s">
        <v>11</v>
      </c>
      <c r="R798" s="21" t="s">
        <v>11</v>
      </c>
      <c r="S798" s="22" t="s">
        <v>10</v>
      </c>
      <c r="T798" s="23" t="s">
        <v>9</v>
      </c>
      <c r="U798" s="24" t="s">
        <v>9</v>
      </c>
      <c r="V798" s="33" t="s">
        <v>8</v>
      </c>
      <c r="W798" s="34" t="s">
        <v>7</v>
      </c>
      <c r="X798" s="4" t="s">
        <v>6</v>
      </c>
      <c r="Y798" s="6" t="s">
        <v>5</v>
      </c>
      <c r="Z798" s="7" t="s">
        <v>5</v>
      </c>
    </row>
    <row r="799" spans="1:31" ht="13.5" customHeight="1" thickBot="1">
      <c r="B799" s="57"/>
      <c r="C799" s="3">
        <f>C779</f>
        <v>1.05</v>
      </c>
      <c r="D799" s="37"/>
      <c r="E799" s="38"/>
      <c r="F799" s="38"/>
      <c r="G799" s="37"/>
      <c r="H799" s="37"/>
      <c r="I799" s="39"/>
      <c r="J799" s="58" t="s">
        <v>4</v>
      </c>
      <c r="K799" s="44"/>
      <c r="L799" s="59"/>
      <c r="M799" s="37"/>
      <c r="N799" s="37"/>
      <c r="O799" s="37"/>
      <c r="P799" s="37"/>
      <c r="Q799" s="42"/>
      <c r="R799" s="42"/>
      <c r="S799" s="52" t="s">
        <v>3</v>
      </c>
      <c r="T799" s="43"/>
      <c r="U799" s="44"/>
      <c r="V799" s="39" t="s">
        <v>3</v>
      </c>
      <c r="W799" s="45" t="s">
        <v>3</v>
      </c>
      <c r="X799" s="8" t="s">
        <v>2</v>
      </c>
      <c r="Y799" s="9" t="s">
        <v>1</v>
      </c>
      <c r="Z799" s="13" t="s">
        <v>0</v>
      </c>
    </row>
    <row r="800" spans="1:31" ht="13.5" customHeight="1">
      <c r="A800" s="1">
        <v>1</v>
      </c>
      <c r="B800" s="3">
        <f t="shared" ref="B800:B809" si="1165">B780</f>
        <v>1000</v>
      </c>
      <c r="C800" s="1">
        <f t="shared" ref="C800:C809" si="1166">IF(B800&lt;1,0.000001,C780*(1+AB780))</f>
        <v>4.4714442469843976E-2</v>
      </c>
      <c r="D800" s="1">
        <f t="shared" si="1079"/>
        <v>0.90015394874486432</v>
      </c>
      <c r="E800" s="1">
        <f t="shared" ref="E800:E809" si="1167">R800</f>
        <v>73.224461560765548</v>
      </c>
      <c r="F800" s="1">
        <f t="shared" ref="F800:F809" si="1168">F780</f>
        <v>20</v>
      </c>
      <c r="G800" s="1">
        <f t="shared" ref="G800:G809" si="1169">(E800-F800)*C800*(1-D800)*4200</f>
        <v>998.0200838990288</v>
      </c>
      <c r="H800" s="1">
        <f t="shared" ref="H800:H809" si="1170">(E800-F800)*D800+F800</f>
        <v>67.910209243742344</v>
      </c>
      <c r="I800" s="1">
        <f t="shared" ref="I800:I809" si="1171">B800*0.001*6/C800</f>
        <v>134.18483310054646</v>
      </c>
      <c r="J800" s="3">
        <f t="shared" ref="J800:J809" si="1172">J780</f>
        <v>10</v>
      </c>
      <c r="K800" s="47">
        <f t="shared" ref="K800:K809" si="1173">K799+C800</f>
        <v>4.4714442469843976E-2</v>
      </c>
      <c r="L800" s="3">
        <f t="shared" ref="L800:L809" si="1174">L780</f>
        <v>3</v>
      </c>
      <c r="M800" s="47">
        <f t="shared" ref="M800:M809" si="1175">K800/(J800*J800*3.14/4000)</f>
        <v>0.5696107320999233</v>
      </c>
      <c r="N800" s="47">
        <f t="shared" ref="N800:N809" si="1176">L800*26400/J800^1.27*M800^1.83*$N$69</f>
        <v>1898.2055262762651</v>
      </c>
      <c r="O800" s="1">
        <f t="shared" ref="O800:O809" si="1177">EXP(-(J800+2)*3.14/1000*$O$66/(M800*J800*J800*3.14/4000*4200)*L800)</f>
        <v>0.99399893055389776</v>
      </c>
      <c r="P800" s="1">
        <f t="shared" ref="P800:P809" si="1178">L800/M800</f>
        <v>5.266754699196448</v>
      </c>
      <c r="Q800" s="1">
        <f t="shared" ref="Q800:Q809" si="1179">R801</f>
        <v>73.545793586625535</v>
      </c>
      <c r="R800" s="1">
        <f t="shared" ref="R800:R809" si="1180">(Q800-F800)*O800+F800</f>
        <v>73.224461560765548</v>
      </c>
      <c r="S800" s="47">
        <f t="shared" ref="S800:S809" si="1181">K800*(1-O800)*4200*(Q800-F800)</f>
        <v>60.34636601294779</v>
      </c>
      <c r="T800" s="1">
        <f t="shared" ref="T800:T809" si="1182">(U799*K799+H800*C800)/K800</f>
        <v>67.910209243742344</v>
      </c>
      <c r="U800" s="47">
        <f t="shared" ref="U800:U809" si="1183">(T800-F800)*O800+F800</f>
        <v>67.622696750893354</v>
      </c>
      <c r="V800" s="47">
        <f t="shared" ref="V800:V809" si="1184">K800*(1-O800)*4200*(T800-F800)</f>
        <v>53.995035447601339</v>
      </c>
      <c r="W800" s="2">
        <f t="shared" si="1098"/>
        <v>998.0300838990288</v>
      </c>
      <c r="X800" s="1">
        <f t="shared" ref="X800:X809" si="1185">C800*3600</f>
        <v>160.9719928914383</v>
      </c>
      <c r="Y800" s="1">
        <f t="shared" ref="Y800:Y809" si="1186">Y801-2*N800/1000</f>
        <v>6</v>
      </c>
      <c r="Z800" s="2">
        <f t="shared" ref="Z800:Z809" si="1187">-1.1-1.8*LOG10(Y800/X800/X800)</f>
        <v>5.4436289042241679</v>
      </c>
      <c r="AA800" s="3">
        <f t="shared" ref="AA800:AA809" si="1188">AA780</f>
        <v>1000</v>
      </c>
      <c r="AB800" s="1">
        <f t="shared" ref="AB800" si="1189">((AA800/W800)-1)*AB$23+AC800+AD800</f>
        <v>1.9738043299009078E-3</v>
      </c>
      <c r="AC800" s="1">
        <f>((N812/N811)-1)*AB$24</f>
        <v>0</v>
      </c>
      <c r="AD800" s="64">
        <f t="shared" ref="AD800" si="1190">(AC$21-(X800/1000/SQRT(Y800/104))*1000/B800)*AB$21</f>
        <v>0</v>
      </c>
      <c r="AE800" s="1">
        <f t="shared" ref="AE800:AE810" si="1191">AE801</f>
        <v>18.77581905015904</v>
      </c>
    </row>
    <row r="801" spans="1:31" ht="13.5" customHeight="1">
      <c r="A801" s="1">
        <v>2</v>
      </c>
      <c r="B801" s="3">
        <f t="shared" si="1165"/>
        <v>1000</v>
      </c>
      <c r="C801" s="1">
        <f t="shared" si="1166"/>
        <v>3.9103056681933354E-2</v>
      </c>
      <c r="D801" s="1">
        <f t="shared" si="1079"/>
        <v>0.88642851962255231</v>
      </c>
      <c r="E801" s="1">
        <f t="shared" si="1167"/>
        <v>73.545793586625535</v>
      </c>
      <c r="F801" s="1">
        <f t="shared" si="1168"/>
        <v>20</v>
      </c>
      <c r="G801" s="1">
        <f t="shared" si="1169"/>
        <v>998.74505979040578</v>
      </c>
      <c r="H801" s="1">
        <f t="shared" si="1170"/>
        <v>67.464518541007237</v>
      </c>
      <c r="I801" s="1">
        <f t="shared" si="1171"/>
        <v>153.44069004130202</v>
      </c>
      <c r="J801" s="3">
        <f t="shared" si="1172"/>
        <v>14.142135623730951</v>
      </c>
      <c r="K801" s="47">
        <f t="shared" si="1173"/>
        <v>8.381749915177733E-2</v>
      </c>
      <c r="L801" s="3">
        <f t="shared" si="1174"/>
        <v>3</v>
      </c>
      <c r="M801" s="47">
        <f t="shared" si="1175"/>
        <v>0.53386942134890014</v>
      </c>
      <c r="N801" s="47">
        <f t="shared" si="1176"/>
        <v>1085.6436140322717</v>
      </c>
      <c r="O801" s="1">
        <f t="shared" si="1177"/>
        <v>0.99568987081030169</v>
      </c>
      <c r="P801" s="1">
        <f t="shared" si="1178"/>
        <v>5.6193516242605837</v>
      </c>
      <c r="Q801" s="1">
        <f t="shared" si="1179"/>
        <v>73.777581912176601</v>
      </c>
      <c r="R801" s="1">
        <f t="shared" si="1180"/>
        <v>73.545793586625535</v>
      </c>
      <c r="S801" s="47">
        <f t="shared" si="1181"/>
        <v>81.597254677126472</v>
      </c>
      <c r="T801" s="1">
        <f t="shared" si="1182"/>
        <v>67.548902476790488</v>
      </c>
      <c r="U801" s="47">
        <f t="shared" si="1183"/>
        <v>67.343960564287158</v>
      </c>
      <c r="V801" s="47">
        <f t="shared" si="1184"/>
        <v>72.146418025129265</v>
      </c>
      <c r="W801" s="2">
        <f t="shared" si="1098"/>
        <v>998.75505979040577</v>
      </c>
      <c r="X801" s="1">
        <f t="shared" si="1185"/>
        <v>140.77100405496009</v>
      </c>
      <c r="Y801" s="1">
        <f t="shared" si="1186"/>
        <v>9.7964110525525303</v>
      </c>
      <c r="Z801" s="2">
        <f t="shared" si="1187"/>
        <v>4.8507269503737138</v>
      </c>
      <c r="AA801" s="3">
        <f t="shared" si="1188"/>
        <v>1000</v>
      </c>
      <c r="AB801" s="1">
        <f t="shared" si="1163"/>
        <v>1.2464920176278316E-3</v>
      </c>
      <c r="AC801" s="1">
        <f t="shared" ref="AC801:AC809" si="1192">AC800</f>
        <v>0</v>
      </c>
      <c r="AD801" s="64">
        <f t="shared" si="1164"/>
        <v>0</v>
      </c>
      <c r="AE801" s="1">
        <f t="shared" si="1191"/>
        <v>18.77581905015904</v>
      </c>
    </row>
    <row r="802" spans="1:31" ht="13.5" customHeight="1">
      <c r="A802" s="1">
        <v>3</v>
      </c>
      <c r="B802" s="3">
        <f t="shared" si="1165"/>
        <v>1000</v>
      </c>
      <c r="C802" s="1">
        <f t="shared" si="1166"/>
        <v>3.5799500554586215E-2</v>
      </c>
      <c r="D802" s="1">
        <f t="shared" si="1079"/>
        <v>0.8764351810762967</v>
      </c>
      <c r="E802" s="1">
        <f t="shared" si="1167"/>
        <v>73.777581912176601</v>
      </c>
      <c r="F802" s="1">
        <f t="shared" si="1168"/>
        <v>20</v>
      </c>
      <c r="G802" s="1">
        <f t="shared" si="1169"/>
        <v>999.13084279344366</v>
      </c>
      <c r="H802" s="1">
        <f t="shared" si="1170"/>
        <v>67.132564741043879</v>
      </c>
      <c r="I802" s="1">
        <f t="shared" si="1171"/>
        <v>167.60010355036502</v>
      </c>
      <c r="J802" s="3">
        <f t="shared" si="1172"/>
        <v>17.320508075688775</v>
      </c>
      <c r="K802" s="47">
        <f t="shared" si="1173"/>
        <v>0.11961699970636355</v>
      </c>
      <c r="L802" s="3">
        <f t="shared" si="1174"/>
        <v>3</v>
      </c>
      <c r="M802" s="47">
        <f t="shared" si="1175"/>
        <v>0.50792781191661796</v>
      </c>
      <c r="N802" s="47">
        <f t="shared" si="1176"/>
        <v>766.09185687288959</v>
      </c>
      <c r="O802" s="1">
        <f t="shared" si="1177"/>
        <v>0.99638389662119675</v>
      </c>
      <c r="P802" s="1">
        <f t="shared" si="1178"/>
        <v>5.9063511184390185</v>
      </c>
      <c r="Q802" s="1">
        <f t="shared" si="1179"/>
        <v>73.972752966542231</v>
      </c>
      <c r="R802" s="1">
        <f t="shared" si="1180"/>
        <v>73.777581912176601</v>
      </c>
      <c r="S802" s="47">
        <f t="shared" si="1181"/>
        <v>98.05225900152395</v>
      </c>
      <c r="T802" s="1">
        <f t="shared" si="1182"/>
        <v>67.280693094696616</v>
      </c>
      <c r="U802" s="47">
        <f t="shared" si="1183"/>
        <v>67.10972122064473</v>
      </c>
      <c r="V802" s="47">
        <f t="shared" si="1184"/>
        <v>85.894798954698601</v>
      </c>
      <c r="W802" s="2">
        <f t="shared" si="1098"/>
        <v>999.14084279344365</v>
      </c>
      <c r="X802" s="1">
        <f t="shared" si="1185"/>
        <v>128.87820199651037</v>
      </c>
      <c r="Y802" s="1">
        <f t="shared" si="1186"/>
        <v>11.967698280617073</v>
      </c>
      <c r="Z802" s="2">
        <f t="shared" si="1187"/>
        <v>4.5562269498379226</v>
      </c>
      <c r="AA802" s="3">
        <f t="shared" si="1188"/>
        <v>1000</v>
      </c>
      <c r="AB802" s="1">
        <f t="shared" si="1163"/>
        <v>8.5989599239510994E-4</v>
      </c>
      <c r="AC802" s="1">
        <f t="shared" si="1192"/>
        <v>0</v>
      </c>
      <c r="AD802" s="64">
        <f t="shared" si="1164"/>
        <v>0</v>
      </c>
      <c r="AE802" s="1">
        <f t="shared" si="1191"/>
        <v>18.77581905015904</v>
      </c>
    </row>
    <row r="803" spans="1:31" ht="13.5" customHeight="1">
      <c r="A803" s="1">
        <v>4</v>
      </c>
      <c r="B803" s="3">
        <f t="shared" si="1165"/>
        <v>1000</v>
      </c>
      <c r="C803" s="1">
        <f t="shared" si="1166"/>
        <v>3.3398638153388456E-2</v>
      </c>
      <c r="D803" s="1">
        <f t="shared" si="1079"/>
        <v>0.86799798248742865</v>
      </c>
      <c r="E803" s="1">
        <f t="shared" si="1167"/>
        <v>73.972752966542231</v>
      </c>
      <c r="F803" s="1">
        <f t="shared" si="1168"/>
        <v>20</v>
      </c>
      <c r="G803" s="1">
        <f t="shared" si="1169"/>
        <v>999.38583248958457</v>
      </c>
      <c r="H803" s="1">
        <f t="shared" si="1170"/>
        <v>66.848240684251039</v>
      </c>
      <c r="I803" s="1">
        <f t="shared" si="1171"/>
        <v>179.6480435053688</v>
      </c>
      <c r="J803" s="3">
        <f t="shared" si="1172"/>
        <v>20</v>
      </c>
      <c r="K803" s="47">
        <f t="shared" si="1173"/>
        <v>0.153015637859752</v>
      </c>
      <c r="L803" s="3">
        <f t="shared" si="1174"/>
        <v>3</v>
      </c>
      <c r="M803" s="47">
        <f t="shared" si="1175"/>
        <v>0.48731094859793633</v>
      </c>
      <c r="N803" s="47">
        <f t="shared" si="1176"/>
        <v>591.57851011345974</v>
      </c>
      <c r="O803" s="1">
        <f t="shared" si="1177"/>
        <v>0.9967804999882397</v>
      </c>
      <c r="P803" s="1">
        <f t="shared" si="1178"/>
        <v>6.1562335273431295</v>
      </c>
      <c r="Q803" s="1">
        <f t="shared" si="1179"/>
        <v>74.147079489595768</v>
      </c>
      <c r="R803" s="1">
        <f t="shared" si="1180"/>
        <v>73.972752966542231</v>
      </c>
      <c r="S803" s="47">
        <f t="shared" si="1181"/>
        <v>112.03367330782248</v>
      </c>
      <c r="T803" s="1">
        <f t="shared" si="1182"/>
        <v>67.052648009427116</v>
      </c>
      <c r="U803" s="47">
        <f t="shared" si="1183"/>
        <v>66.901162008607415</v>
      </c>
      <c r="V803" s="47">
        <f t="shared" si="1184"/>
        <v>97.354853577449617</v>
      </c>
      <c r="W803" s="2">
        <f t="shared" si="1098"/>
        <v>999.39583248958456</v>
      </c>
      <c r="X803" s="1">
        <f t="shared" si="1185"/>
        <v>120.23509735219844</v>
      </c>
      <c r="Y803" s="1">
        <f t="shared" si="1186"/>
        <v>13.499881994362852</v>
      </c>
      <c r="Z803" s="2">
        <f t="shared" si="1187"/>
        <v>4.3535185836592998</v>
      </c>
      <c r="AA803" s="3">
        <f t="shared" si="1188"/>
        <v>1000</v>
      </c>
      <c r="AB803" s="1">
        <f t="shared" si="1163"/>
        <v>6.0453274946170588E-4</v>
      </c>
      <c r="AC803" s="1">
        <f t="shared" si="1192"/>
        <v>0</v>
      </c>
      <c r="AD803" s="64">
        <f t="shared" si="1164"/>
        <v>0</v>
      </c>
      <c r="AE803" s="1">
        <f t="shared" si="1191"/>
        <v>18.77581905015904</v>
      </c>
    </row>
    <row r="804" spans="1:31" ht="13.5" customHeight="1">
      <c r="A804" s="1">
        <v>5</v>
      </c>
      <c r="B804" s="3">
        <f t="shared" si="1165"/>
        <v>1000</v>
      </c>
      <c r="C804" s="1">
        <f t="shared" si="1166"/>
        <v>3.1498930951952629E-2</v>
      </c>
      <c r="D804" s="1">
        <f t="shared" ref="D804:D867" si="1193">EXP((1+(E804-F804-55)/55*$B$18)*B804/C804/-210000)</f>
        <v>0.8604619865242048</v>
      </c>
      <c r="E804" s="1">
        <f t="shared" si="1167"/>
        <v>74.147079489595768</v>
      </c>
      <c r="F804" s="1">
        <f t="shared" si="1168"/>
        <v>20</v>
      </c>
      <c r="G804" s="1">
        <f t="shared" si="1169"/>
        <v>999.56876801206158</v>
      </c>
      <c r="H804" s="1">
        <f t="shared" si="1170"/>
        <v>66.591503582101609</v>
      </c>
      <c r="I804" s="1">
        <f t="shared" si="1171"/>
        <v>190.48265508287221</v>
      </c>
      <c r="J804" s="3">
        <f t="shared" si="1172"/>
        <v>22.360679774997898</v>
      </c>
      <c r="K804" s="47">
        <f t="shared" si="1173"/>
        <v>0.18451456881170464</v>
      </c>
      <c r="L804" s="3">
        <f t="shared" si="1174"/>
        <v>3</v>
      </c>
      <c r="M804" s="47">
        <f t="shared" si="1175"/>
        <v>0.47010081225912004</v>
      </c>
      <c r="N804" s="47">
        <f t="shared" si="1176"/>
        <v>480.72728757870544</v>
      </c>
      <c r="O804" s="1">
        <f t="shared" si="1177"/>
        <v>0.99704323025357766</v>
      </c>
      <c r="P804" s="1">
        <f t="shared" si="1178"/>
        <v>6.3816099052949458</v>
      </c>
      <c r="Q804" s="1">
        <f t="shared" si="1179"/>
        <v>74.307654720071227</v>
      </c>
      <c r="R804" s="1">
        <f t="shared" si="1180"/>
        <v>74.147079489595768</v>
      </c>
      <c r="S804" s="47">
        <f t="shared" si="1181"/>
        <v>124.43957153467991</v>
      </c>
      <c r="T804" s="1">
        <f t="shared" si="1182"/>
        <v>66.848299465242889</v>
      </c>
      <c r="U804" s="47">
        <f t="shared" si="1183"/>
        <v>66.709779830712733</v>
      </c>
      <c r="V804" s="47">
        <f t="shared" si="1184"/>
        <v>107.34734067661012</v>
      </c>
      <c r="W804" s="2">
        <f t="shared" ref="W804:W867" si="1194">G804+(S804+V804)*$AB$22+0.01</f>
        <v>999.57876801206157</v>
      </c>
      <c r="X804" s="1">
        <f t="shared" si="1185"/>
        <v>113.39615142702947</v>
      </c>
      <c r="Y804" s="1">
        <f t="shared" si="1186"/>
        <v>14.683039014589772</v>
      </c>
      <c r="Z804" s="2">
        <f t="shared" si="1187"/>
        <v>4.1962852197657128</v>
      </c>
      <c r="AA804" s="3">
        <f t="shared" si="1188"/>
        <v>1000</v>
      </c>
      <c r="AB804" s="1">
        <f t="shared" si="1163"/>
        <v>4.2140949909952319E-4</v>
      </c>
      <c r="AC804" s="1">
        <f t="shared" si="1192"/>
        <v>0</v>
      </c>
      <c r="AD804" s="64">
        <f t="shared" si="1164"/>
        <v>0</v>
      </c>
      <c r="AE804" s="1">
        <f t="shared" si="1191"/>
        <v>18.77581905015904</v>
      </c>
    </row>
    <row r="805" spans="1:31" ht="13.5" customHeight="1">
      <c r="A805" s="1">
        <v>6</v>
      </c>
      <c r="B805" s="3">
        <f t="shared" si="1165"/>
        <v>1000</v>
      </c>
      <c r="C805" s="1">
        <f t="shared" si="1166"/>
        <v>2.9923787469237201E-2</v>
      </c>
      <c r="D805" s="1">
        <f t="shared" si="1193"/>
        <v>0.853531175417785</v>
      </c>
      <c r="E805" s="1">
        <f t="shared" si="1167"/>
        <v>74.307654720071227</v>
      </c>
      <c r="F805" s="1">
        <f t="shared" si="1168"/>
        <v>20</v>
      </c>
      <c r="G805" s="1">
        <f t="shared" si="1169"/>
        <v>999.70553455528102</v>
      </c>
      <c r="H805" s="1">
        <f t="shared" si="1170"/>
        <v>66.353276367405613</v>
      </c>
      <c r="I805" s="1">
        <f t="shared" si="1171"/>
        <v>200.50937757020998</v>
      </c>
      <c r="J805" s="3">
        <f t="shared" si="1172"/>
        <v>24.494897427831781</v>
      </c>
      <c r="K805" s="47">
        <f t="shared" si="1173"/>
        <v>0.21443835628094185</v>
      </c>
      <c r="L805" s="3">
        <f t="shared" si="1174"/>
        <v>3</v>
      </c>
      <c r="M805" s="47">
        <f t="shared" si="1175"/>
        <v>0.45528313435444134</v>
      </c>
      <c r="N805" s="47">
        <f t="shared" si="1176"/>
        <v>403.79822906080346</v>
      </c>
      <c r="O805" s="1">
        <f t="shared" si="1177"/>
        <v>0.99723267749579936</v>
      </c>
      <c r="P805" s="1">
        <f t="shared" si="1178"/>
        <v>6.5893062440228185</v>
      </c>
      <c r="Q805" s="1">
        <f t="shared" si="1179"/>
        <v>74.458358561259629</v>
      </c>
      <c r="R805" s="1">
        <f t="shared" si="1180"/>
        <v>74.307654720071227</v>
      </c>
      <c r="S805" s="47">
        <f t="shared" si="1181"/>
        <v>135.73007275659265</v>
      </c>
      <c r="T805" s="1">
        <f t="shared" si="1182"/>
        <v>66.660031576468171</v>
      </c>
      <c r="U805" s="47">
        <f t="shared" si="1183"/>
        <v>66.530908221039908</v>
      </c>
      <c r="V805" s="47">
        <f t="shared" si="1184"/>
        <v>116.29380040117844</v>
      </c>
      <c r="W805" s="2">
        <f t="shared" si="1194"/>
        <v>999.71553455528101</v>
      </c>
      <c r="X805" s="1">
        <f t="shared" si="1185"/>
        <v>107.72563488925393</v>
      </c>
      <c r="Y805" s="1">
        <f t="shared" si="1186"/>
        <v>15.644493589747183</v>
      </c>
      <c r="Z805" s="2">
        <f t="shared" si="1187"/>
        <v>4.0664979069608727</v>
      </c>
      <c r="AA805" s="3">
        <f t="shared" si="1188"/>
        <v>1000</v>
      </c>
      <c r="AB805" s="1">
        <f t="shared" si="1163"/>
        <v>2.845463883338617E-4</v>
      </c>
      <c r="AC805" s="1">
        <f t="shared" si="1192"/>
        <v>0</v>
      </c>
      <c r="AD805" s="64">
        <f t="shared" si="1164"/>
        <v>0</v>
      </c>
      <c r="AE805" s="1">
        <f t="shared" si="1191"/>
        <v>18.77581905015904</v>
      </c>
    </row>
    <row r="806" spans="1:31" ht="13.5" customHeight="1">
      <c r="A806" s="1">
        <v>7</v>
      </c>
      <c r="B806" s="3">
        <f t="shared" si="1165"/>
        <v>1000</v>
      </c>
      <c r="C806" s="1">
        <f t="shared" si="1166"/>
        <v>2.8578171123608366E-2</v>
      </c>
      <c r="D806" s="1">
        <f t="shared" si="1193"/>
        <v>0.84704302963125577</v>
      </c>
      <c r="E806" s="1">
        <f t="shared" si="1167"/>
        <v>74.458358561259629</v>
      </c>
      <c r="F806" s="1">
        <f t="shared" si="1168"/>
        <v>20</v>
      </c>
      <c r="G806" s="1">
        <f t="shared" si="1169"/>
        <v>999.81015327144326</v>
      </c>
      <c r="H806" s="1">
        <f t="shared" si="1170"/>
        <v>66.128573024474591</v>
      </c>
      <c r="I806" s="1">
        <f t="shared" si="1171"/>
        <v>209.95045393382128</v>
      </c>
      <c r="J806" s="3">
        <f t="shared" si="1172"/>
        <v>26.457513110645905</v>
      </c>
      <c r="K806" s="47">
        <f t="shared" si="1173"/>
        <v>0.24301652740455021</v>
      </c>
      <c r="L806" s="3">
        <f t="shared" si="1174"/>
        <v>3</v>
      </c>
      <c r="M806" s="47">
        <f t="shared" si="1175"/>
        <v>0.44225027735131978</v>
      </c>
      <c r="N806" s="47">
        <f t="shared" si="1176"/>
        <v>347.19270198962181</v>
      </c>
      <c r="O806" s="1">
        <f t="shared" si="1177"/>
        <v>0.99737703465211724</v>
      </c>
      <c r="P806" s="1">
        <f t="shared" si="1178"/>
        <v>6.783489244975252</v>
      </c>
      <c r="Q806" s="1">
        <f t="shared" si="1179"/>
        <v>74.601576604633351</v>
      </c>
      <c r="R806" s="1">
        <f t="shared" si="1180"/>
        <v>74.458358561259629</v>
      </c>
      <c r="S806" s="47">
        <f t="shared" si="1181"/>
        <v>146.17827656189289</v>
      </c>
      <c r="T806" s="1">
        <f t="shared" si="1182"/>
        <v>66.483594549746456</v>
      </c>
      <c r="U806" s="47">
        <f t="shared" si="1183"/>
        <v>66.361669691997434</v>
      </c>
      <c r="V806" s="47">
        <f t="shared" si="1184"/>
        <v>124.44497324473112</v>
      </c>
      <c r="W806" s="2">
        <f t="shared" si="1194"/>
        <v>999.82015327144325</v>
      </c>
      <c r="X806" s="1">
        <f t="shared" si="1185"/>
        <v>102.88141604499012</v>
      </c>
      <c r="Y806" s="1">
        <f t="shared" si="1186"/>
        <v>16.45209004786879</v>
      </c>
      <c r="Z806" s="2">
        <f t="shared" si="1187"/>
        <v>3.9552150192843496</v>
      </c>
      <c r="AA806" s="3">
        <f t="shared" si="1188"/>
        <v>1000</v>
      </c>
      <c r="AB806" s="1">
        <f t="shared" si="1163"/>
        <v>1.7987907922067947E-4</v>
      </c>
      <c r="AC806" s="1">
        <f t="shared" si="1192"/>
        <v>0</v>
      </c>
      <c r="AD806" s="64">
        <f t="shared" si="1164"/>
        <v>0</v>
      </c>
      <c r="AE806" s="1">
        <f t="shared" si="1191"/>
        <v>18.77581905015904</v>
      </c>
    </row>
    <row r="807" spans="1:31" ht="13.5" customHeight="1">
      <c r="A807" s="1">
        <v>8</v>
      </c>
      <c r="B807" s="3">
        <f t="shared" si="1165"/>
        <v>1000</v>
      </c>
      <c r="C807" s="1">
        <f t="shared" si="1166"/>
        <v>2.7404425145737626E-2</v>
      </c>
      <c r="D807" s="1">
        <f t="shared" si="1193"/>
        <v>0.84089729119293188</v>
      </c>
      <c r="E807" s="1">
        <f t="shared" si="1167"/>
        <v>74.601576604633351</v>
      </c>
      <c r="F807" s="1">
        <f t="shared" si="1168"/>
        <v>20</v>
      </c>
      <c r="G807" s="1">
        <f t="shared" si="1169"/>
        <v>999.89119415801349</v>
      </c>
      <c r="H807" s="1">
        <f t="shared" si="1170"/>
        <v>65.914317861699544</v>
      </c>
      <c r="I807" s="1">
        <f t="shared" si="1171"/>
        <v>218.94274257138417</v>
      </c>
      <c r="J807" s="3">
        <f t="shared" si="1172"/>
        <v>28.284271247461902</v>
      </c>
      <c r="K807" s="47">
        <f t="shared" si="1173"/>
        <v>0.27042095255028786</v>
      </c>
      <c r="L807" s="3">
        <f t="shared" si="1174"/>
        <v>3</v>
      </c>
      <c r="M807" s="47">
        <f t="shared" si="1175"/>
        <v>0.43060661234122266</v>
      </c>
      <c r="N807" s="47">
        <f t="shared" si="1176"/>
        <v>303.76709211202262</v>
      </c>
      <c r="O807" s="1">
        <f t="shared" si="1177"/>
        <v>0.99749139032083922</v>
      </c>
      <c r="P807" s="1">
        <f t="shared" si="1178"/>
        <v>6.9669157742118699</v>
      </c>
      <c r="Q807" s="1">
        <f t="shared" si="1179"/>
        <v>74.738895126774935</v>
      </c>
      <c r="R807" s="1">
        <f t="shared" si="1180"/>
        <v>74.601576604633351</v>
      </c>
      <c r="S807" s="47">
        <f t="shared" si="1181"/>
        <v>155.9619833533765</v>
      </c>
      <c r="T807" s="1">
        <f t="shared" si="1182"/>
        <v>66.316335114067755</v>
      </c>
      <c r="U807" s="47">
        <f t="shared" si="1183"/>
        <v>66.200145507497353</v>
      </c>
      <c r="V807" s="47">
        <f t="shared" si="1184"/>
        <v>131.96443715789039</v>
      </c>
      <c r="W807" s="2">
        <f t="shared" si="1194"/>
        <v>999.90119415801348</v>
      </c>
      <c r="X807" s="1">
        <f t="shared" si="1185"/>
        <v>98.65593052465546</v>
      </c>
      <c r="Y807" s="1">
        <f t="shared" si="1186"/>
        <v>17.146475451848033</v>
      </c>
      <c r="Z807" s="2">
        <f t="shared" si="1187"/>
        <v>3.8573287582791322</v>
      </c>
      <c r="AA807" s="3">
        <f t="shared" si="1188"/>
        <v>1000</v>
      </c>
      <c r="AB807" s="1">
        <f t="shared" si="1163"/>
        <v>9.8815605545699015E-5</v>
      </c>
      <c r="AC807" s="1">
        <f t="shared" si="1192"/>
        <v>0</v>
      </c>
      <c r="AD807" s="64">
        <f t="shared" si="1164"/>
        <v>0</v>
      </c>
      <c r="AE807" s="1">
        <f t="shared" si="1191"/>
        <v>18.77581905015904</v>
      </c>
    </row>
    <row r="808" spans="1:31" ht="13.5" customHeight="1">
      <c r="A808" s="1">
        <v>9</v>
      </c>
      <c r="B808" s="3">
        <f t="shared" si="1165"/>
        <v>1000</v>
      </c>
      <c r="C808" s="1">
        <f t="shared" si="1166"/>
        <v>2.6364659921126073E-2</v>
      </c>
      <c r="D808" s="1">
        <f t="shared" si="1193"/>
        <v>0.83502707556096201</v>
      </c>
      <c r="E808" s="1">
        <f t="shared" si="1167"/>
        <v>74.738895126774935</v>
      </c>
      <c r="F808" s="1">
        <f t="shared" si="1168"/>
        <v>20</v>
      </c>
      <c r="G808" s="1">
        <f t="shared" si="1169"/>
        <v>999.95432790713369</v>
      </c>
      <c r="H808" s="1">
        <f t="shared" si="1170"/>
        <v>65.708459517149066</v>
      </c>
      <c r="I808" s="1">
        <f t="shared" si="1171"/>
        <v>227.57737129740801</v>
      </c>
      <c r="J808" s="3">
        <f t="shared" si="1172"/>
        <v>30</v>
      </c>
      <c r="K808" s="47">
        <f t="shared" si="1173"/>
        <v>0.29678561247141394</v>
      </c>
      <c r="L808" s="3">
        <f t="shared" si="1174"/>
        <v>3</v>
      </c>
      <c r="M808" s="47">
        <f t="shared" si="1175"/>
        <v>0.42007871545847691</v>
      </c>
      <c r="N808" s="47">
        <f t="shared" si="1176"/>
        <v>269.39302098484859</v>
      </c>
      <c r="O808" s="1">
        <f t="shared" si="1177"/>
        <v>0.99758462966753403</v>
      </c>
      <c r="P808" s="1">
        <f t="shared" si="1178"/>
        <v>7.1415186954325423</v>
      </c>
      <c r="Q808" s="1">
        <f t="shared" si="1179"/>
        <v>74.871429950778037</v>
      </c>
      <c r="R808" s="1">
        <f t="shared" si="1180"/>
        <v>74.738895126774935</v>
      </c>
      <c r="S808" s="47">
        <f t="shared" si="1181"/>
        <v>165.20460144530711</v>
      </c>
      <c r="T808" s="1">
        <f t="shared" si="1182"/>
        <v>66.156467062927319</v>
      </c>
      <c r="U808" s="47">
        <f t="shared" si="1183"/>
        <v>66.044982101732074</v>
      </c>
      <c r="V808" s="47">
        <f t="shared" si="1184"/>
        <v>138.96595645665749</v>
      </c>
      <c r="W808" s="2">
        <f t="shared" si="1194"/>
        <v>999.96432790713368</v>
      </c>
      <c r="X808" s="1">
        <f t="shared" si="1185"/>
        <v>94.912775716053858</v>
      </c>
      <c r="Y808" s="1">
        <f t="shared" si="1186"/>
        <v>17.75400963607208</v>
      </c>
      <c r="Z808" s="2">
        <f t="shared" si="1187"/>
        <v>3.7696352158887332</v>
      </c>
      <c r="AA808" s="3">
        <f t="shared" si="1188"/>
        <v>1000</v>
      </c>
      <c r="AB808" s="1">
        <f t="shared" si="1163"/>
        <v>3.5673365409882862E-5</v>
      </c>
      <c r="AC808" s="1">
        <f t="shared" si="1192"/>
        <v>0</v>
      </c>
      <c r="AD808" s="64">
        <f t="shared" si="1164"/>
        <v>0</v>
      </c>
      <c r="AE808" s="1">
        <f t="shared" si="1191"/>
        <v>18.77581905015904</v>
      </c>
    </row>
    <row r="809" spans="1:31" ht="13.5" customHeight="1">
      <c r="A809" s="1">
        <v>10</v>
      </c>
      <c r="B809" s="3">
        <f t="shared" si="1165"/>
        <v>1000</v>
      </c>
      <c r="C809" s="1">
        <f t="shared" si="1166"/>
        <v>2.5432508093894163E-2</v>
      </c>
      <c r="D809" s="1">
        <f t="shared" si="1193"/>
        <v>0.82938517310468673</v>
      </c>
      <c r="E809" s="1">
        <f t="shared" si="1167"/>
        <v>74.871429950778037</v>
      </c>
      <c r="F809" s="1">
        <f t="shared" si="1168"/>
        <v>20</v>
      </c>
      <c r="G809" s="1">
        <f t="shared" si="1169"/>
        <v>1000.0035222715549</v>
      </c>
      <c r="H809" s="1">
        <f t="shared" si="1170"/>
        <v>65.509550428227726</v>
      </c>
      <c r="I809" s="1">
        <f t="shared" si="1171"/>
        <v>235.91853299912958</v>
      </c>
      <c r="J809" s="3">
        <f t="shared" si="1172"/>
        <v>31.622776601683793</v>
      </c>
      <c r="K809" s="47">
        <f t="shared" si="1173"/>
        <v>0.32221812056530807</v>
      </c>
      <c r="L809" s="3">
        <f t="shared" si="1174"/>
        <v>3</v>
      </c>
      <c r="M809" s="47">
        <f t="shared" si="1175"/>
        <v>0.41046894339529688</v>
      </c>
      <c r="N809" s="47">
        <f t="shared" si="1176"/>
        <v>241.51168605863151</v>
      </c>
      <c r="O809" s="1">
        <f t="shared" si="1177"/>
        <v>0.99766236274141884</v>
      </c>
      <c r="P809" s="1">
        <f t="shared" si="1178"/>
        <v>7.3087137243191824</v>
      </c>
      <c r="Q809" s="1">
        <f t="shared" si="1179"/>
        <v>75</v>
      </c>
      <c r="R809" s="1">
        <f t="shared" si="1180"/>
        <v>74.871429950778037</v>
      </c>
      <c r="S809" s="47">
        <f t="shared" si="1181"/>
        <v>173.99591840941937</v>
      </c>
      <c r="T809" s="1">
        <f t="shared" si="1182"/>
        <v>66.002720759178672</v>
      </c>
      <c r="U809" s="47">
        <f t="shared" si="1183"/>
        <v>65.895183085135912</v>
      </c>
      <c r="V809" s="47">
        <f t="shared" si="1184"/>
        <v>145.53246632409736</v>
      </c>
      <c r="W809" s="2">
        <f t="shared" si="1194"/>
        <v>1000.0135222715548</v>
      </c>
      <c r="X809" s="1">
        <f t="shared" si="1185"/>
        <v>91.55702913801899</v>
      </c>
      <c r="Y809" s="1">
        <f t="shared" si="1186"/>
        <v>18.292795678041777</v>
      </c>
      <c r="Z809" s="2">
        <f t="shared" si="1187"/>
        <v>3.6899859413745761</v>
      </c>
      <c r="AA809" s="3">
        <f t="shared" si="1188"/>
        <v>1000</v>
      </c>
      <c r="AB809" s="1">
        <f t="shared" si="1163"/>
        <v>-1.3522088705530955E-5</v>
      </c>
      <c r="AC809" s="1">
        <f t="shared" si="1192"/>
        <v>0</v>
      </c>
      <c r="AD809" s="64">
        <f t="shared" si="1164"/>
        <v>0</v>
      </c>
      <c r="AE809" s="1">
        <f t="shared" si="1191"/>
        <v>18.77581905015904</v>
      </c>
    </row>
    <row r="810" spans="1:31" ht="13.5" customHeight="1">
      <c r="K810" s="47"/>
      <c r="L810" s="47"/>
      <c r="M810" s="47"/>
      <c r="N810" s="47">
        <f>SUM(N800:N809)</f>
        <v>6387.9095250795199</v>
      </c>
      <c r="O810" s="2" t="s">
        <v>46</v>
      </c>
      <c r="P810" s="2"/>
      <c r="Q810" s="2"/>
      <c r="R810" s="49">
        <f>R790</f>
        <v>75</v>
      </c>
      <c r="S810" s="50" t="s">
        <v>45</v>
      </c>
      <c r="T810" s="2"/>
      <c r="U810" s="11">
        <f>U809</f>
        <v>65.895183085135912</v>
      </c>
      <c r="V810" s="47"/>
      <c r="W810" s="2"/>
      <c r="Y810" s="1">
        <f>N811</f>
        <v>18.77581905015904</v>
      </c>
      <c r="AE810" s="1">
        <f t="shared" si="1191"/>
        <v>18.77581905015904</v>
      </c>
    </row>
    <row r="811" spans="1:31" ht="13.5" customHeight="1">
      <c r="K811" s="47"/>
      <c r="L811" s="2" t="s">
        <v>44</v>
      </c>
      <c r="M811" s="2"/>
      <c r="N811" s="47">
        <f>N810*2/1000+Y811</f>
        <v>18.77581905015904</v>
      </c>
      <c r="O811" s="2" t="s">
        <v>1</v>
      </c>
      <c r="P811" s="1">
        <f>SUM(P800:P809)</f>
        <v>64.120244557495781</v>
      </c>
      <c r="Q811" s="1" t="s">
        <v>43</v>
      </c>
      <c r="S811" s="47"/>
      <c r="U811" s="47"/>
      <c r="V811" s="47"/>
      <c r="W811" s="2"/>
      <c r="Y811" s="3">
        <f>Y791</f>
        <v>6</v>
      </c>
      <c r="Z811" s="3" t="s">
        <v>42</v>
      </c>
      <c r="AE811" s="1">
        <f>N811</f>
        <v>18.77581905015904</v>
      </c>
    </row>
    <row r="812" spans="1:31" ht="13.5" customHeight="1">
      <c r="L812" s="60" t="s">
        <v>41</v>
      </c>
      <c r="N812" s="3">
        <f>N792</f>
        <v>15</v>
      </c>
      <c r="O812" s="1" t="s">
        <v>1</v>
      </c>
    </row>
    <row r="815" spans="1:31" ht="13.5" customHeight="1" thickBot="1"/>
    <row r="816" spans="1:31" ht="13.5" customHeight="1">
      <c r="B816" s="14" t="s">
        <v>40</v>
      </c>
      <c r="C816" s="15"/>
      <c r="D816" s="15"/>
      <c r="E816" s="15"/>
      <c r="F816" s="15"/>
      <c r="G816" s="15"/>
      <c r="H816" s="15" t="s">
        <v>39</v>
      </c>
      <c r="I816" s="16"/>
      <c r="J816" s="14" t="s">
        <v>38</v>
      </c>
      <c r="K816" s="15"/>
      <c r="L816" s="15"/>
      <c r="M816" s="15"/>
      <c r="N816" s="15" t="s">
        <v>37</v>
      </c>
      <c r="O816" s="15"/>
      <c r="P816" s="15"/>
      <c r="Q816" s="15"/>
      <c r="R816" s="15"/>
      <c r="S816" s="16"/>
      <c r="T816" s="14" t="s">
        <v>36</v>
      </c>
      <c r="U816" s="15"/>
      <c r="V816" s="16"/>
      <c r="W816" s="14"/>
      <c r="X816" s="15"/>
      <c r="Y816" s="15"/>
      <c r="Z816" s="16"/>
    </row>
    <row r="817" spans="1:31" ht="13.5" customHeight="1">
      <c r="B817" s="17" t="s">
        <v>35</v>
      </c>
      <c r="C817" s="18" t="s">
        <v>22</v>
      </c>
      <c r="D817" s="18"/>
      <c r="E817" s="18" t="s">
        <v>34</v>
      </c>
      <c r="F817" s="18" t="s">
        <v>33</v>
      </c>
      <c r="G817" s="18" t="s">
        <v>7</v>
      </c>
      <c r="H817" s="18" t="s">
        <v>32</v>
      </c>
      <c r="I817" s="19" t="s">
        <v>22</v>
      </c>
      <c r="J817" s="17" t="s">
        <v>31</v>
      </c>
      <c r="K817" s="18"/>
      <c r="L817" s="18" t="s">
        <v>30</v>
      </c>
      <c r="M817" s="18"/>
      <c r="N817" s="18" t="s">
        <v>29</v>
      </c>
      <c r="O817" s="18"/>
      <c r="P817" s="18" t="s">
        <v>28</v>
      </c>
      <c r="Q817" s="20" t="s">
        <v>27</v>
      </c>
      <c r="R817" s="21" t="s">
        <v>26</v>
      </c>
      <c r="S817" s="22" t="s">
        <v>7</v>
      </c>
      <c r="T817" s="23" t="s">
        <v>25</v>
      </c>
      <c r="U817" s="24" t="s">
        <v>24</v>
      </c>
      <c r="V817" s="25" t="s">
        <v>7</v>
      </c>
      <c r="W817" s="26" t="s">
        <v>23</v>
      </c>
      <c r="X817" s="4" t="s">
        <v>22</v>
      </c>
      <c r="Y817" s="4" t="s">
        <v>21</v>
      </c>
      <c r="Z817" s="5" t="s">
        <v>20</v>
      </c>
    </row>
    <row r="818" spans="1:31" ht="13.5" customHeight="1">
      <c r="B818" s="54" t="s">
        <v>3</v>
      </c>
      <c r="C818" s="28" t="s">
        <v>17</v>
      </c>
      <c r="D818" s="20" t="s">
        <v>13</v>
      </c>
      <c r="E818" s="20" t="s">
        <v>19</v>
      </c>
      <c r="F818" s="28" t="s">
        <v>19</v>
      </c>
      <c r="G818" s="20" t="s">
        <v>3</v>
      </c>
      <c r="H818" s="20" t="s">
        <v>19</v>
      </c>
      <c r="I818" s="29" t="s">
        <v>12</v>
      </c>
      <c r="J818" s="55" t="s">
        <v>18</v>
      </c>
      <c r="K818" s="20" t="s">
        <v>17</v>
      </c>
      <c r="L818" s="56" t="s">
        <v>16</v>
      </c>
      <c r="M818" s="20" t="s">
        <v>15</v>
      </c>
      <c r="N818" s="20" t="s">
        <v>14</v>
      </c>
      <c r="O818" s="20" t="s">
        <v>13</v>
      </c>
      <c r="P818" s="20" t="s">
        <v>12</v>
      </c>
      <c r="Q818" s="20" t="s">
        <v>11</v>
      </c>
      <c r="R818" s="21" t="s">
        <v>11</v>
      </c>
      <c r="S818" s="22" t="s">
        <v>10</v>
      </c>
      <c r="T818" s="23" t="s">
        <v>9</v>
      </c>
      <c r="U818" s="24" t="s">
        <v>9</v>
      </c>
      <c r="V818" s="33" t="s">
        <v>8</v>
      </c>
      <c r="W818" s="34" t="s">
        <v>7</v>
      </c>
      <c r="X818" s="4" t="s">
        <v>6</v>
      </c>
      <c r="Y818" s="6" t="s">
        <v>5</v>
      </c>
      <c r="Z818" s="7" t="s">
        <v>5</v>
      </c>
    </row>
    <row r="819" spans="1:31" ht="13.5" customHeight="1" thickBot="1">
      <c r="B819" s="57"/>
      <c r="C819" s="3">
        <f>C799</f>
        <v>1.05</v>
      </c>
      <c r="D819" s="37"/>
      <c r="E819" s="38"/>
      <c r="F819" s="38"/>
      <c r="G819" s="37"/>
      <c r="H819" s="37"/>
      <c r="I819" s="39"/>
      <c r="J819" s="58" t="s">
        <v>4</v>
      </c>
      <c r="K819" s="44"/>
      <c r="L819" s="59"/>
      <c r="M819" s="37"/>
      <c r="N819" s="37"/>
      <c r="O819" s="37"/>
      <c r="P819" s="37"/>
      <c r="Q819" s="42"/>
      <c r="R819" s="42"/>
      <c r="S819" s="52" t="s">
        <v>3</v>
      </c>
      <c r="T819" s="43"/>
      <c r="U819" s="44"/>
      <c r="V819" s="39" t="s">
        <v>3</v>
      </c>
      <c r="W819" s="45" t="s">
        <v>3</v>
      </c>
      <c r="X819" s="8" t="s">
        <v>2</v>
      </c>
      <c r="Y819" s="9" t="s">
        <v>1</v>
      </c>
      <c r="Z819" s="13" t="s">
        <v>0</v>
      </c>
    </row>
    <row r="820" spans="1:31" ht="13.5" customHeight="1">
      <c r="A820" s="1">
        <v>1</v>
      </c>
      <c r="B820" s="3">
        <f t="shared" ref="B820:B829" si="1195">B800</f>
        <v>1000</v>
      </c>
      <c r="C820" s="1">
        <f t="shared" ref="C820:C829" si="1196">IF(B820&lt;1,0.000001,C800*(1+AB800))</f>
        <v>4.4802700030000059E-2</v>
      </c>
      <c r="D820" s="1">
        <f t="shared" si="1193"/>
        <v>0.90033902995229198</v>
      </c>
      <c r="E820" s="1">
        <f t="shared" ref="E820:E829" si="1197">R820</f>
        <v>73.226674379433348</v>
      </c>
      <c r="F820" s="1">
        <f t="shared" ref="F820:F829" si="1198">F800</f>
        <v>20</v>
      </c>
      <c r="G820" s="1">
        <f t="shared" ref="G820:G829" si="1199">(E820-F820)*C820*(1-D820)*4200</f>
        <v>998.17783080279594</v>
      </c>
      <c r="H820" s="1">
        <f t="shared" ref="H820:H829" si="1200">(E820-F820)*D820+F820</f>
        <v>67.922052378365535</v>
      </c>
      <c r="I820" s="1">
        <f t="shared" ref="I820:I829" si="1201">B820*0.001*6/C820</f>
        <v>133.92050023731554</v>
      </c>
      <c r="J820" s="3">
        <f t="shared" ref="J820:J829" si="1202">J800</f>
        <v>10</v>
      </c>
      <c r="K820" s="47">
        <f t="shared" ref="K820:K829" si="1203">K819+C820</f>
        <v>4.4802700030000059E-2</v>
      </c>
      <c r="L820" s="3">
        <f t="shared" ref="L820:L829" si="1204">L800</f>
        <v>3</v>
      </c>
      <c r="M820" s="47">
        <f t="shared" ref="M820:M829" si="1205">K820/(J820*J820*3.14/4000)</f>
        <v>0.57073503222930011</v>
      </c>
      <c r="N820" s="47">
        <f t="shared" ref="N820:N829" si="1206">L820*26400/J820^1.27*M820^1.83*$N$69</f>
        <v>1905.0675778573986</v>
      </c>
      <c r="O820" s="1">
        <f t="shared" ref="O820:O829" si="1207">EXP(-(J820+2)*3.14/1000*$O$66/(M820*J820*J820*3.14/4000*4200)*L820)</f>
        <v>0.99401071668479812</v>
      </c>
      <c r="P820" s="1">
        <f t="shared" ref="P820:P829" si="1208">L820/M820</f>
        <v>5.2563796343146354</v>
      </c>
      <c r="Q820" s="1">
        <f t="shared" ref="Q820:Q829" si="1209">R821</f>
        <v>73.54738483801637</v>
      </c>
      <c r="R820" s="1">
        <f t="shared" ref="R820:R829" si="1210">(Q820-F820)*O820+F820</f>
        <v>73.226674379433348</v>
      </c>
      <c r="S820" s="47">
        <f t="shared" ref="S820:S829" si="1211">K820*(1-O820)*4200*(Q820-F820)</f>
        <v>60.34851678399199</v>
      </c>
      <c r="T820" s="1">
        <f t="shared" ref="T820:T829" si="1212">(U819*K819+H820*C820)/K820</f>
        <v>67.922052378365535</v>
      </c>
      <c r="U820" s="47">
        <f t="shared" ref="U820:U829" si="1213">(T820-F820)*O820+F820</f>
        <v>67.635033629625553</v>
      </c>
      <c r="V820" s="47">
        <f t="shared" ref="V820:V829" si="1214">K820*(1-O820)*4200*(T820-F820)</f>
        <v>54.008702591688866</v>
      </c>
      <c r="W820" s="2">
        <f t="shared" si="1194"/>
        <v>998.18783080279593</v>
      </c>
      <c r="X820" s="1">
        <f t="shared" ref="X820:X829" si="1215">C820*3600</f>
        <v>161.28972010800021</v>
      </c>
      <c r="Y820" s="1">
        <f t="shared" ref="Y820:Y829" si="1216">Y821-2*N820/1000</f>
        <v>6.0000000000000009</v>
      </c>
      <c r="Z820" s="2">
        <f t="shared" ref="Z820:Z829" si="1217">-1.1-1.8*LOG10(Y820/X820/X820)</f>
        <v>5.446711827064652</v>
      </c>
      <c r="AA820" s="3">
        <f t="shared" ref="AA820:AA829" si="1218">AA800</f>
        <v>1000</v>
      </c>
      <c r="AB820" s="1">
        <f t="shared" ref="AB820" si="1219">((AA820/W820)-1)*AB$23+AC820+AD820</f>
        <v>1.8154591162933276E-3</v>
      </c>
      <c r="AC820" s="1">
        <f>((N832/N831)-1)*AB$24</f>
        <v>0</v>
      </c>
      <c r="AD820" s="64">
        <f t="shared" ref="AD820" si="1220">(AC$21-(X820/1000/SQRT(Y820/104))*1000/B820)*AB$21</f>
        <v>0</v>
      </c>
      <c r="AE820" s="1">
        <f t="shared" ref="AE820:AE830" si="1221">AE821</f>
        <v>18.809348879000339</v>
      </c>
    </row>
    <row r="821" spans="1:31" ht="13.5" customHeight="1">
      <c r="A821" s="1">
        <v>2</v>
      </c>
      <c r="B821" s="3">
        <f t="shared" si="1195"/>
        <v>1000</v>
      </c>
      <c r="C821" s="1">
        <f t="shared" si="1196"/>
        <v>3.9151798329952234E-2</v>
      </c>
      <c r="D821" s="1">
        <f t="shared" si="1193"/>
        <v>0.88656038241644053</v>
      </c>
      <c r="E821" s="1">
        <f t="shared" si="1197"/>
        <v>73.54738483801637</v>
      </c>
      <c r="F821" s="1">
        <f t="shared" si="1198"/>
        <v>20</v>
      </c>
      <c r="G821" s="1">
        <f t="shared" si="1199"/>
        <v>998.85862642169548</v>
      </c>
      <c r="H821" s="1">
        <f t="shared" si="1200"/>
        <v>67.472989979392111</v>
      </c>
      <c r="I821" s="1">
        <f t="shared" si="1201"/>
        <v>153.24966555648174</v>
      </c>
      <c r="J821" s="3">
        <f t="shared" si="1202"/>
        <v>14.142135623730951</v>
      </c>
      <c r="K821" s="47">
        <f t="shared" si="1203"/>
        <v>8.3954498359952293E-2</v>
      </c>
      <c r="L821" s="3">
        <f t="shared" si="1204"/>
        <v>3</v>
      </c>
      <c r="M821" s="47">
        <f t="shared" si="1205"/>
        <v>0.5347420277703967</v>
      </c>
      <c r="N821" s="47">
        <f t="shared" si="1206"/>
        <v>1088.8931114150598</v>
      </c>
      <c r="O821" s="1">
        <f t="shared" si="1207"/>
        <v>0.99569688904053588</v>
      </c>
      <c r="P821" s="1">
        <f t="shared" si="1208"/>
        <v>5.6101818151613774</v>
      </c>
      <c r="Q821" s="1">
        <f t="shared" si="1209"/>
        <v>73.778800985925756</v>
      </c>
      <c r="R821" s="1">
        <f t="shared" si="1210"/>
        <v>73.54738483801637</v>
      </c>
      <c r="S821" s="47">
        <f t="shared" si="1211"/>
        <v>81.599391762521876</v>
      </c>
      <c r="T821" s="1">
        <f t="shared" si="1212"/>
        <v>67.559465310613177</v>
      </c>
      <c r="U821" s="47">
        <f t="shared" si="1213"/>
        <v>67.354811654208817</v>
      </c>
      <c r="V821" s="47">
        <f t="shared" si="1214"/>
        <v>72.162699256021511</v>
      </c>
      <c r="W821" s="2">
        <f t="shared" si="1194"/>
        <v>998.86862642169547</v>
      </c>
      <c r="X821" s="1">
        <f t="shared" si="1215"/>
        <v>140.94647398782803</v>
      </c>
      <c r="Y821" s="1">
        <f t="shared" si="1216"/>
        <v>9.8101351557147982</v>
      </c>
      <c r="Z821" s="2">
        <f t="shared" si="1217"/>
        <v>4.8515801932907578</v>
      </c>
      <c r="AA821" s="3">
        <f t="shared" si="1218"/>
        <v>1000</v>
      </c>
      <c r="AB821" s="1">
        <f t="shared" si="1163"/>
        <v>1.1326550342836139E-3</v>
      </c>
      <c r="AC821" s="1">
        <f t="shared" ref="AC821:AC829" si="1222">AC820</f>
        <v>0</v>
      </c>
      <c r="AD821" s="64">
        <f t="shared" si="1164"/>
        <v>0</v>
      </c>
      <c r="AE821" s="1">
        <f t="shared" si="1221"/>
        <v>18.809348879000339</v>
      </c>
    </row>
    <row r="822" spans="1:31" ht="13.5" customHeight="1">
      <c r="A822" s="1">
        <v>3</v>
      </c>
      <c r="B822" s="3">
        <f t="shared" si="1195"/>
        <v>1000</v>
      </c>
      <c r="C822" s="1">
        <f t="shared" si="1196"/>
        <v>3.5830284401642848E-2</v>
      </c>
      <c r="D822" s="1">
        <f t="shared" si="1193"/>
        <v>0.87653352001480411</v>
      </c>
      <c r="E822" s="1">
        <f t="shared" si="1197"/>
        <v>73.778800985925756</v>
      </c>
      <c r="F822" s="1">
        <f t="shared" si="1198"/>
        <v>20</v>
      </c>
      <c r="G822" s="1">
        <f t="shared" si="1199"/>
        <v>999.21680090048392</v>
      </c>
      <c r="H822" s="1">
        <f t="shared" si="1200"/>
        <v>67.13892173036912</v>
      </c>
      <c r="I822" s="1">
        <f t="shared" si="1201"/>
        <v>167.45610871358016</v>
      </c>
      <c r="J822" s="3">
        <f t="shared" si="1202"/>
        <v>17.320508075688775</v>
      </c>
      <c r="K822" s="47">
        <f t="shared" si="1203"/>
        <v>0.11978478276159514</v>
      </c>
      <c r="L822" s="3">
        <f t="shared" si="1204"/>
        <v>3</v>
      </c>
      <c r="M822" s="47">
        <f t="shared" si="1205"/>
        <v>0.50864026650358851</v>
      </c>
      <c r="N822" s="47">
        <f t="shared" si="1206"/>
        <v>768.05947059043365</v>
      </c>
      <c r="O822" s="1">
        <f t="shared" si="1207"/>
        <v>0.9963889525564178</v>
      </c>
      <c r="P822" s="1">
        <f t="shared" si="1208"/>
        <v>5.8980780672794699</v>
      </c>
      <c r="Q822" s="1">
        <f t="shared" si="1209"/>
        <v>73.973702586672033</v>
      </c>
      <c r="R822" s="1">
        <f t="shared" si="1210"/>
        <v>73.778800985925756</v>
      </c>
      <c r="S822" s="47">
        <f t="shared" si="1211"/>
        <v>98.054232802171356</v>
      </c>
      <c r="T822" s="1">
        <f t="shared" si="1212"/>
        <v>67.290234191259955</v>
      </c>
      <c r="U822" s="47">
        <f t="shared" si="1213"/>
        <v>67.119466911977199</v>
      </c>
      <c r="V822" s="47">
        <f t="shared" si="1214"/>
        <v>85.912350097027513</v>
      </c>
      <c r="W822" s="2">
        <f t="shared" si="1194"/>
        <v>999.22680090048391</v>
      </c>
      <c r="X822" s="1">
        <f t="shared" si="1215"/>
        <v>128.98902384591426</v>
      </c>
      <c r="Y822" s="1">
        <f t="shared" si="1216"/>
        <v>11.987921378544918</v>
      </c>
      <c r="Z822" s="2">
        <f t="shared" si="1217"/>
        <v>4.5562509273010061</v>
      </c>
      <c r="AA822" s="3">
        <f t="shared" si="1218"/>
        <v>1000</v>
      </c>
      <c r="AB822" s="1">
        <f t="shared" si="1163"/>
        <v>7.7379739896810129E-4</v>
      </c>
      <c r="AC822" s="1">
        <f t="shared" si="1222"/>
        <v>0</v>
      </c>
      <c r="AD822" s="64">
        <f t="shared" si="1164"/>
        <v>0</v>
      </c>
      <c r="AE822" s="1">
        <f t="shared" si="1221"/>
        <v>18.809348879000339</v>
      </c>
    </row>
    <row r="823" spans="1:31" ht="13.5" customHeight="1">
      <c r="A823" s="1">
        <v>4</v>
      </c>
      <c r="B823" s="3">
        <f t="shared" si="1195"/>
        <v>1000</v>
      </c>
      <c r="C823" s="1">
        <f t="shared" si="1196"/>
        <v>3.34188287239396E-2</v>
      </c>
      <c r="D823" s="1">
        <f t="shared" si="1193"/>
        <v>0.86807141355364892</v>
      </c>
      <c r="E823" s="1">
        <f t="shared" si="1197"/>
        <v>73.973702586672033</v>
      </c>
      <c r="F823" s="1">
        <f t="shared" si="1198"/>
        <v>20</v>
      </c>
      <c r="G823" s="1">
        <f t="shared" si="1199"/>
        <v>999.45129653924664</v>
      </c>
      <c r="H823" s="1">
        <f t="shared" si="1200"/>
        <v>66.853028299136639</v>
      </c>
      <c r="I823" s="1">
        <f t="shared" si="1201"/>
        <v>179.53950599417317</v>
      </c>
      <c r="J823" s="3">
        <f t="shared" si="1202"/>
        <v>20</v>
      </c>
      <c r="K823" s="47">
        <f t="shared" si="1203"/>
        <v>0.15320361148553474</v>
      </c>
      <c r="L823" s="3">
        <f t="shared" si="1204"/>
        <v>3</v>
      </c>
      <c r="M823" s="47">
        <f t="shared" si="1205"/>
        <v>0.48790959071826351</v>
      </c>
      <c r="N823" s="47">
        <f t="shared" si="1206"/>
        <v>592.90910520424393</v>
      </c>
      <c r="O823" s="1">
        <f t="shared" si="1207"/>
        <v>0.99678444380550635</v>
      </c>
      <c r="P823" s="1">
        <f t="shared" si="1208"/>
        <v>6.1486801183465722</v>
      </c>
      <c r="Q823" s="1">
        <f t="shared" si="1209"/>
        <v>74.147817938061081</v>
      </c>
      <c r="R823" s="1">
        <f t="shared" si="1210"/>
        <v>73.973702586672033</v>
      </c>
      <c r="S823" s="47">
        <f t="shared" si="1211"/>
        <v>112.03542272107451</v>
      </c>
      <c r="T823" s="1">
        <f t="shared" si="1212"/>
        <v>67.061347744409133</v>
      </c>
      <c r="U823" s="47">
        <f t="shared" si="1213"/>
        <v>66.91001933614838</v>
      </c>
      <c r="V823" s="47">
        <f t="shared" si="1214"/>
        <v>97.373046396801158</v>
      </c>
      <c r="W823" s="2">
        <f t="shared" si="1194"/>
        <v>999.46129653924663</v>
      </c>
      <c r="X823" s="1">
        <f t="shared" si="1215"/>
        <v>120.30778340618257</v>
      </c>
      <c r="Y823" s="1">
        <f t="shared" si="1216"/>
        <v>13.524040319725785</v>
      </c>
      <c r="Z823" s="2">
        <f t="shared" si="1217"/>
        <v>4.3530657885991104</v>
      </c>
      <c r="AA823" s="3">
        <f t="shared" si="1218"/>
        <v>1000</v>
      </c>
      <c r="AB823" s="1">
        <f t="shared" si="1163"/>
        <v>5.3899381858868445E-4</v>
      </c>
      <c r="AC823" s="1">
        <f t="shared" si="1222"/>
        <v>0</v>
      </c>
      <c r="AD823" s="64">
        <f t="shared" si="1164"/>
        <v>0</v>
      </c>
      <c r="AE823" s="1">
        <f t="shared" si="1221"/>
        <v>18.809348879000339</v>
      </c>
    </row>
    <row r="824" spans="1:31" ht="13.5" customHeight="1">
      <c r="A824" s="1">
        <v>5</v>
      </c>
      <c r="B824" s="3">
        <f t="shared" si="1195"/>
        <v>1000</v>
      </c>
      <c r="C824" s="1">
        <f t="shared" si="1196"/>
        <v>3.1512204900667265E-2</v>
      </c>
      <c r="D824" s="1">
        <f t="shared" si="1193"/>
        <v>0.86051579652881571</v>
      </c>
      <c r="E824" s="1">
        <f t="shared" si="1197"/>
        <v>74.147817938061081</v>
      </c>
      <c r="F824" s="1">
        <f t="shared" si="1198"/>
        <v>20</v>
      </c>
      <c r="G824" s="1">
        <f t="shared" si="1199"/>
        <v>999.61800235786563</v>
      </c>
      <c r="H824" s="1">
        <f t="shared" si="1200"/>
        <v>66.595052683267937</v>
      </c>
      <c r="I824" s="1">
        <f t="shared" si="1201"/>
        <v>190.40241769540381</v>
      </c>
      <c r="J824" s="3">
        <f t="shared" si="1202"/>
        <v>22.360679774997898</v>
      </c>
      <c r="K824" s="47">
        <f t="shared" si="1203"/>
        <v>0.18471581638620199</v>
      </c>
      <c r="L824" s="3">
        <f t="shared" si="1204"/>
        <v>3</v>
      </c>
      <c r="M824" s="47">
        <f t="shared" si="1205"/>
        <v>0.47061354493299862</v>
      </c>
      <c r="N824" s="47">
        <f t="shared" si="1206"/>
        <v>481.68723263615357</v>
      </c>
      <c r="O824" s="1">
        <f t="shared" si="1207"/>
        <v>0.99704644688732014</v>
      </c>
      <c r="P824" s="1">
        <f t="shared" si="1208"/>
        <v>6.3746571519251765</v>
      </c>
      <c r="Q824" s="1">
        <f t="shared" si="1209"/>
        <v>74.308220150731387</v>
      </c>
      <c r="R824" s="1">
        <f t="shared" si="1210"/>
        <v>74.147817938061081</v>
      </c>
      <c r="S824" s="47">
        <f t="shared" si="1211"/>
        <v>124.44106778689702</v>
      </c>
      <c r="T824" s="1">
        <f t="shared" si="1212"/>
        <v>66.856286559515468</v>
      </c>
      <c r="U824" s="47">
        <f t="shared" si="1213"/>
        <v>66.717894028498989</v>
      </c>
      <c r="V824" s="47">
        <f t="shared" si="1214"/>
        <v>107.36581526353723</v>
      </c>
      <c r="W824" s="2">
        <f t="shared" si="1194"/>
        <v>999.62800235786563</v>
      </c>
      <c r="X824" s="1">
        <f t="shared" si="1215"/>
        <v>113.44393764240215</v>
      </c>
      <c r="Y824" s="1">
        <f t="shared" si="1216"/>
        <v>14.709858530134273</v>
      </c>
      <c r="Z824" s="2">
        <f t="shared" si="1217"/>
        <v>4.1955173601357068</v>
      </c>
      <c r="AA824" s="3">
        <f t="shared" si="1218"/>
        <v>1000</v>
      </c>
      <c r="AB824" s="1">
        <f t="shared" si="1163"/>
        <v>3.7213607587704978E-4</v>
      </c>
      <c r="AC824" s="1">
        <f t="shared" si="1222"/>
        <v>0</v>
      </c>
      <c r="AD824" s="64">
        <f t="shared" si="1164"/>
        <v>0</v>
      </c>
      <c r="AE824" s="1">
        <f t="shared" si="1221"/>
        <v>18.809348879000339</v>
      </c>
    </row>
    <row r="825" spans="1:31" ht="13.5" customHeight="1">
      <c r="A825" s="1">
        <v>6</v>
      </c>
      <c r="B825" s="3">
        <f t="shared" si="1195"/>
        <v>1000</v>
      </c>
      <c r="C825" s="1">
        <f t="shared" si="1196"/>
        <v>2.9932302174886842E-2</v>
      </c>
      <c r="D825" s="1">
        <f t="shared" si="1193"/>
        <v>0.85356909882643195</v>
      </c>
      <c r="E825" s="1">
        <f t="shared" si="1197"/>
        <v>74.308220150731387</v>
      </c>
      <c r="F825" s="1">
        <f t="shared" si="1198"/>
        <v>20</v>
      </c>
      <c r="G825" s="1">
        <f t="shared" si="1199"/>
        <v>999.74149060872253</v>
      </c>
      <c r="H825" s="1">
        <f t="shared" si="1200"/>
        <v>66.355818532927259</v>
      </c>
      <c r="I825" s="1">
        <f t="shared" si="1201"/>
        <v>200.45233958094914</v>
      </c>
      <c r="J825" s="3">
        <f t="shared" si="1202"/>
        <v>24.494897427831781</v>
      </c>
      <c r="K825" s="47">
        <f t="shared" si="1203"/>
        <v>0.21464811856108884</v>
      </c>
      <c r="L825" s="3">
        <f t="shared" si="1204"/>
        <v>3</v>
      </c>
      <c r="M825" s="47">
        <f t="shared" si="1205"/>
        <v>0.45572848951398909</v>
      </c>
      <c r="N825" s="47">
        <f t="shared" si="1206"/>
        <v>404.52135956462712</v>
      </c>
      <c r="O825" s="1">
        <f t="shared" si="1207"/>
        <v>0.99723537808659768</v>
      </c>
      <c r="P825" s="1">
        <f t="shared" si="1208"/>
        <v>6.5828669241182292</v>
      </c>
      <c r="Q825" s="1">
        <f t="shared" si="1209"/>
        <v>74.458778081993984</v>
      </c>
      <c r="R825" s="1">
        <f t="shared" si="1210"/>
        <v>74.308220150731387</v>
      </c>
      <c r="S825" s="47">
        <f t="shared" si="1211"/>
        <v>135.73130205585579</v>
      </c>
      <c r="T825" s="1">
        <f t="shared" si="1212"/>
        <v>66.66740323819424</v>
      </c>
      <c r="U825" s="47">
        <f t="shared" si="1213"/>
        <v>66.538385512560353</v>
      </c>
      <c r="V825" s="47">
        <f t="shared" si="1214"/>
        <v>116.31233068705387</v>
      </c>
      <c r="W825" s="2">
        <f t="shared" si="1194"/>
        <v>999.75149060872252</v>
      </c>
      <c r="X825" s="1">
        <f t="shared" si="1215"/>
        <v>107.75628782959264</v>
      </c>
      <c r="Y825" s="1">
        <f t="shared" si="1216"/>
        <v>15.673232995406581</v>
      </c>
      <c r="Z825" s="2">
        <f t="shared" si="1217"/>
        <v>4.0655079763788269</v>
      </c>
      <c r="AA825" s="3">
        <f t="shared" si="1218"/>
        <v>1000</v>
      </c>
      <c r="AB825" s="1">
        <f t="shared" si="1163"/>
        <v>2.4857116354604081E-4</v>
      </c>
      <c r="AC825" s="1">
        <f t="shared" si="1222"/>
        <v>0</v>
      </c>
      <c r="AD825" s="64">
        <f t="shared" si="1164"/>
        <v>0</v>
      </c>
      <c r="AE825" s="1">
        <f t="shared" si="1221"/>
        <v>18.809348879000339</v>
      </c>
    </row>
    <row r="826" spans="1:31" ht="13.5" customHeight="1">
      <c r="A826" s="1">
        <v>7</v>
      </c>
      <c r="B826" s="3">
        <f t="shared" si="1195"/>
        <v>1000</v>
      </c>
      <c r="C826" s="1">
        <f t="shared" si="1196"/>
        <v>2.8583311738715891E-2</v>
      </c>
      <c r="D826" s="1">
        <f t="shared" si="1193"/>
        <v>0.84706790964410761</v>
      </c>
      <c r="E826" s="1">
        <f t="shared" si="1197"/>
        <v>74.458778081993984</v>
      </c>
      <c r="F826" s="1">
        <f t="shared" si="1198"/>
        <v>20</v>
      </c>
      <c r="G826" s="1">
        <f t="shared" si="1199"/>
        <v>999.83504180258944</v>
      </c>
      <c r="H826" s="1">
        <f t="shared" si="1200"/>
        <v>66.130283311686981</v>
      </c>
      <c r="I826" s="1">
        <f t="shared" si="1201"/>
        <v>209.9126950315223</v>
      </c>
      <c r="J826" s="3">
        <f t="shared" si="1202"/>
        <v>26.457513110645905</v>
      </c>
      <c r="K826" s="47">
        <f t="shared" si="1203"/>
        <v>0.24323143029980474</v>
      </c>
      <c r="L826" s="3">
        <f t="shared" si="1204"/>
        <v>3</v>
      </c>
      <c r="M826" s="47">
        <f t="shared" si="1205"/>
        <v>0.44264136542275656</v>
      </c>
      <c r="N826" s="47">
        <f t="shared" si="1206"/>
        <v>347.75476820024898</v>
      </c>
      <c r="O826" s="1">
        <f t="shared" si="1207"/>
        <v>0.99737934908817671</v>
      </c>
      <c r="P826" s="1">
        <f t="shared" si="1208"/>
        <v>6.7774958111625407</v>
      </c>
      <c r="Q826" s="1">
        <f t="shared" si="1209"/>
        <v>74.60187052376935</v>
      </c>
      <c r="R826" s="1">
        <f t="shared" si="1210"/>
        <v>74.458778081993984</v>
      </c>
      <c r="S826" s="47">
        <f t="shared" si="1211"/>
        <v>146.17923296808527</v>
      </c>
      <c r="T826" s="1">
        <f t="shared" si="1212"/>
        <v>66.490427432412403</v>
      </c>
      <c r="U826" s="47">
        <f t="shared" si="1213"/>
        <v>66.3685922513706</v>
      </c>
      <c r="V826" s="47">
        <f t="shared" si="1214"/>
        <v>124.46341045166321</v>
      </c>
      <c r="W826" s="2">
        <f t="shared" si="1194"/>
        <v>999.84504180258944</v>
      </c>
      <c r="X826" s="1">
        <f t="shared" si="1215"/>
        <v>102.89992225937721</v>
      </c>
      <c r="Y826" s="1">
        <f t="shared" si="1216"/>
        <v>16.482275714535835</v>
      </c>
      <c r="Z826" s="2">
        <f t="shared" si="1217"/>
        <v>3.954063253463755</v>
      </c>
      <c r="AA826" s="3">
        <f t="shared" si="1218"/>
        <v>1000</v>
      </c>
      <c r="AB826" s="1">
        <f t="shared" si="1163"/>
        <v>1.5498221317500338E-4</v>
      </c>
      <c r="AC826" s="1">
        <f t="shared" si="1222"/>
        <v>0</v>
      </c>
      <c r="AD826" s="64">
        <f t="shared" si="1164"/>
        <v>0</v>
      </c>
      <c r="AE826" s="1">
        <f t="shared" si="1221"/>
        <v>18.809348879000339</v>
      </c>
    </row>
    <row r="827" spans="1:31" ht="13.5" customHeight="1">
      <c r="A827" s="1">
        <v>8</v>
      </c>
      <c r="B827" s="3">
        <f t="shared" si="1195"/>
        <v>1000</v>
      </c>
      <c r="C827" s="1">
        <f t="shared" si="1196"/>
        <v>2.7407133130603036E-2</v>
      </c>
      <c r="D827" s="1">
        <f t="shared" si="1193"/>
        <v>0.84091139216183486</v>
      </c>
      <c r="E827" s="1">
        <f t="shared" si="1197"/>
        <v>74.60187052376935</v>
      </c>
      <c r="F827" s="1">
        <f t="shared" si="1198"/>
        <v>20</v>
      </c>
      <c r="G827" s="1">
        <f t="shared" si="1199"/>
        <v>999.90675425805944</v>
      </c>
      <c r="H827" s="1">
        <f t="shared" si="1200"/>
        <v>65.915334956783141</v>
      </c>
      <c r="I827" s="1">
        <f t="shared" si="1201"/>
        <v>218.92110974935753</v>
      </c>
      <c r="J827" s="3">
        <f t="shared" si="1202"/>
        <v>28.284271247461902</v>
      </c>
      <c r="K827" s="47">
        <f t="shared" si="1203"/>
        <v>0.27063856343040776</v>
      </c>
      <c r="L827" s="3">
        <f t="shared" si="1204"/>
        <v>3</v>
      </c>
      <c r="M827" s="47">
        <f t="shared" si="1205"/>
        <v>0.43095312648154094</v>
      </c>
      <c r="N827" s="47">
        <f t="shared" si="1206"/>
        <v>304.21457567240941</v>
      </c>
      <c r="O827" s="1">
        <f t="shared" si="1207"/>
        <v>0.9974934048748797</v>
      </c>
      <c r="P827" s="1">
        <f t="shared" si="1208"/>
        <v>6.961313924075915</v>
      </c>
      <c r="Q827" s="1">
        <f t="shared" si="1209"/>
        <v>74.739079232928191</v>
      </c>
      <c r="R827" s="1">
        <f t="shared" si="1210"/>
        <v>74.60187052376935</v>
      </c>
      <c r="S827" s="47">
        <f t="shared" si="1211"/>
        <v>155.96266533492491</v>
      </c>
      <c r="T827" s="1">
        <f t="shared" si="1212"/>
        <v>66.322691612312667</v>
      </c>
      <c r="U827" s="47">
        <f t="shared" si="1213"/>
        <v>66.206579379334784</v>
      </c>
      <c r="V827" s="47">
        <f t="shared" si="1214"/>
        <v>131.98268130528038</v>
      </c>
      <c r="W827" s="2">
        <f t="shared" si="1194"/>
        <v>999.91675425805943</v>
      </c>
      <c r="X827" s="1">
        <f t="shared" si="1215"/>
        <v>98.665679270170926</v>
      </c>
      <c r="Y827" s="1">
        <f t="shared" si="1216"/>
        <v>17.177785250936331</v>
      </c>
      <c r="Z827" s="2">
        <f t="shared" si="1217"/>
        <v>3.856057092229547</v>
      </c>
      <c r="AA827" s="3">
        <f t="shared" si="1218"/>
        <v>1000</v>
      </c>
      <c r="AB827" s="1">
        <f t="shared" si="1163"/>
        <v>8.325267237108136E-5</v>
      </c>
      <c r="AC827" s="1">
        <f t="shared" si="1222"/>
        <v>0</v>
      </c>
      <c r="AD827" s="64">
        <f t="shared" si="1164"/>
        <v>0</v>
      </c>
      <c r="AE827" s="1">
        <f t="shared" si="1221"/>
        <v>18.809348879000339</v>
      </c>
    </row>
    <row r="828" spans="1:31" ht="13.5" customHeight="1">
      <c r="A828" s="1">
        <v>9</v>
      </c>
      <c r="B828" s="3">
        <f t="shared" si="1195"/>
        <v>1000</v>
      </c>
      <c r="C828" s="1">
        <f t="shared" si="1196"/>
        <v>2.6365600437273345E-2</v>
      </c>
      <c r="D828" s="1">
        <f t="shared" si="1193"/>
        <v>0.83503225410113979</v>
      </c>
      <c r="E828" s="1">
        <f t="shared" si="1197"/>
        <v>74.739079232928191</v>
      </c>
      <c r="F828" s="1">
        <f t="shared" si="1198"/>
        <v>20</v>
      </c>
      <c r="G828" s="1">
        <f t="shared" si="1199"/>
        <v>999.96197292667318</v>
      </c>
      <c r="H828" s="1">
        <f t="shared" si="1200"/>
        <v>65.708896719292909</v>
      </c>
      <c r="I828" s="1">
        <f t="shared" si="1201"/>
        <v>227.56925313628483</v>
      </c>
      <c r="J828" s="3">
        <f t="shared" si="1202"/>
        <v>30</v>
      </c>
      <c r="K828" s="47">
        <f t="shared" si="1203"/>
        <v>0.29700416386768114</v>
      </c>
      <c r="L828" s="3">
        <f t="shared" si="1204"/>
        <v>3</v>
      </c>
      <c r="M828" s="47">
        <f t="shared" si="1205"/>
        <v>0.42038805926069517</v>
      </c>
      <c r="N828" s="47">
        <f t="shared" si="1206"/>
        <v>269.75616665341954</v>
      </c>
      <c r="O828" s="1">
        <f t="shared" si="1207"/>
        <v>0.99758640487832928</v>
      </c>
      <c r="P828" s="1">
        <f t="shared" si="1208"/>
        <v>7.1362635876858018</v>
      </c>
      <c r="Q828" s="1">
        <f t="shared" si="1209"/>
        <v>74.87151685833615</v>
      </c>
      <c r="R828" s="1">
        <f t="shared" si="1210"/>
        <v>74.739079232928191</v>
      </c>
      <c r="S828" s="47">
        <f t="shared" si="1211"/>
        <v>165.20501003542276</v>
      </c>
      <c r="T828" s="1">
        <f t="shared" si="1212"/>
        <v>66.162399183379449</v>
      </c>
      <c r="U828" s="47">
        <f t="shared" si="1213"/>
        <v>66.050981841905838</v>
      </c>
      <c r="V828" s="47">
        <f t="shared" si="1214"/>
        <v>138.98394024787748</v>
      </c>
      <c r="W828" s="2">
        <f t="shared" si="1194"/>
        <v>999.97197292667317</v>
      </c>
      <c r="X828" s="1">
        <f t="shared" si="1215"/>
        <v>94.916161574184045</v>
      </c>
      <c r="Y828" s="1">
        <f t="shared" si="1216"/>
        <v>17.78621440228115</v>
      </c>
      <c r="Z828" s="2">
        <f t="shared" si="1217"/>
        <v>3.7682742593329484</v>
      </c>
      <c r="AA828" s="3">
        <f t="shared" si="1218"/>
        <v>1000</v>
      </c>
      <c r="AB828" s="1">
        <f t="shared" si="1163"/>
        <v>2.8027858865575794E-5</v>
      </c>
      <c r="AC828" s="1">
        <f t="shared" si="1222"/>
        <v>0</v>
      </c>
      <c r="AD828" s="64">
        <f t="shared" si="1164"/>
        <v>0</v>
      </c>
      <c r="AE828" s="1">
        <f t="shared" si="1221"/>
        <v>18.809348879000339</v>
      </c>
    </row>
    <row r="829" spans="1:31" ht="13.5" customHeight="1">
      <c r="A829" s="1">
        <v>10</v>
      </c>
      <c r="B829" s="3">
        <f t="shared" si="1195"/>
        <v>1000</v>
      </c>
      <c r="C829" s="1">
        <f t="shared" si="1196"/>
        <v>2.5432164193263714E-2</v>
      </c>
      <c r="D829" s="1">
        <f t="shared" si="1193"/>
        <v>0.82938298183221648</v>
      </c>
      <c r="E829" s="1">
        <f t="shared" si="1197"/>
        <v>74.87151685833615</v>
      </c>
      <c r="F829" s="1">
        <f t="shared" si="1198"/>
        <v>20</v>
      </c>
      <c r="G829" s="1">
        <f t="shared" si="1199"/>
        <v>1000.004427239448</v>
      </c>
      <c r="H829" s="1">
        <f t="shared" si="1200"/>
        <v>65.509502269623567</v>
      </c>
      <c r="I829" s="1">
        <f t="shared" si="1201"/>
        <v>235.92172315359761</v>
      </c>
      <c r="J829" s="3">
        <f t="shared" si="1202"/>
        <v>31.622776601683793</v>
      </c>
      <c r="K829" s="47">
        <f t="shared" si="1203"/>
        <v>0.32243632806094485</v>
      </c>
      <c r="L829" s="3">
        <f t="shared" si="1204"/>
        <v>3</v>
      </c>
      <c r="M829" s="47">
        <f t="shared" si="1205"/>
        <v>0.41074691472731828</v>
      </c>
      <c r="N829" s="47">
        <f t="shared" si="1206"/>
        <v>241.81107170617562</v>
      </c>
      <c r="O829" s="1">
        <f t="shared" si="1207"/>
        <v>0.99766394287883908</v>
      </c>
      <c r="P829" s="1">
        <f t="shared" si="1208"/>
        <v>7.3037675815327887</v>
      </c>
      <c r="Q829" s="1">
        <f t="shared" si="1209"/>
        <v>75</v>
      </c>
      <c r="R829" s="1">
        <f t="shared" si="1210"/>
        <v>74.87151685833615</v>
      </c>
      <c r="S829" s="47">
        <f t="shared" si="1211"/>
        <v>173.99605614646978</v>
      </c>
      <c r="T829" s="1">
        <f t="shared" si="1212"/>
        <v>66.008272642627958</v>
      </c>
      <c r="U829" s="47">
        <f t="shared" si="1213"/>
        <v>65.900794689688837</v>
      </c>
      <c r="V829" s="47">
        <f t="shared" si="1214"/>
        <v>145.55014527143243</v>
      </c>
      <c r="W829" s="2">
        <f t="shared" si="1194"/>
        <v>1000.014427239448</v>
      </c>
      <c r="X829" s="1">
        <f t="shared" si="1215"/>
        <v>91.55579109574937</v>
      </c>
      <c r="Y829" s="1">
        <f t="shared" si="1216"/>
        <v>18.325726735587988</v>
      </c>
      <c r="Z829" s="2">
        <f t="shared" si="1217"/>
        <v>3.6885587790382801</v>
      </c>
      <c r="AA829" s="3">
        <f t="shared" si="1218"/>
        <v>1000</v>
      </c>
      <c r="AB829" s="1">
        <f t="shared" si="1163"/>
        <v>-1.4427031305719318E-5</v>
      </c>
      <c r="AC829" s="1">
        <f t="shared" si="1222"/>
        <v>0</v>
      </c>
      <c r="AD829" s="64">
        <f t="shared" si="1164"/>
        <v>0</v>
      </c>
      <c r="AE829" s="1">
        <f t="shared" si="1221"/>
        <v>18.809348879000339</v>
      </c>
    </row>
    <row r="830" spans="1:31" ht="13.5" customHeight="1">
      <c r="K830" s="47"/>
      <c r="L830" s="47"/>
      <c r="M830" s="47"/>
      <c r="N830" s="47">
        <f>SUM(N820:N829)</f>
        <v>6404.6744395001697</v>
      </c>
      <c r="O830" s="2" t="s">
        <v>46</v>
      </c>
      <c r="P830" s="2"/>
      <c r="Q830" s="2"/>
      <c r="R830" s="49">
        <f>R810</f>
        <v>75</v>
      </c>
      <c r="S830" s="50" t="s">
        <v>45</v>
      </c>
      <c r="T830" s="2"/>
      <c r="U830" s="11">
        <f>U829</f>
        <v>65.900794689688837</v>
      </c>
      <c r="V830" s="47"/>
      <c r="W830" s="2"/>
      <c r="Y830" s="1">
        <f>N831</f>
        <v>18.809348879000339</v>
      </c>
      <c r="AE830" s="1">
        <f t="shared" si="1221"/>
        <v>18.809348879000339</v>
      </c>
    </row>
    <row r="831" spans="1:31" ht="13.5" customHeight="1">
      <c r="K831" s="47"/>
      <c r="L831" s="2" t="s">
        <v>44</v>
      </c>
      <c r="M831" s="2"/>
      <c r="N831" s="47">
        <f>N830*2/1000+Y831</f>
        <v>18.809348879000339</v>
      </c>
      <c r="O831" s="2" t="s">
        <v>1</v>
      </c>
      <c r="P831" s="1">
        <f>SUM(P820:P829)</f>
        <v>64.049684615602501</v>
      </c>
      <c r="Q831" s="1" t="s">
        <v>43</v>
      </c>
      <c r="S831" s="47"/>
      <c r="U831" s="47"/>
      <c r="V831" s="47"/>
      <c r="W831" s="2"/>
      <c r="Y831" s="3">
        <f>Y811</f>
        <v>6</v>
      </c>
      <c r="Z831" s="3" t="s">
        <v>42</v>
      </c>
      <c r="AE831" s="1">
        <f>N831</f>
        <v>18.809348879000339</v>
      </c>
    </row>
    <row r="832" spans="1:31" ht="13.5" customHeight="1">
      <c r="L832" s="60" t="s">
        <v>41</v>
      </c>
      <c r="N832" s="3">
        <f>N812</f>
        <v>15</v>
      </c>
      <c r="O832" s="1" t="s">
        <v>1</v>
      </c>
    </row>
    <row r="835" spans="1:31" ht="13.5" customHeight="1" thickBot="1"/>
    <row r="836" spans="1:31" ht="13.5" customHeight="1">
      <c r="B836" s="14" t="s">
        <v>40</v>
      </c>
      <c r="C836" s="15"/>
      <c r="D836" s="15"/>
      <c r="E836" s="15"/>
      <c r="F836" s="15"/>
      <c r="G836" s="15"/>
      <c r="H836" s="15" t="s">
        <v>39</v>
      </c>
      <c r="I836" s="16"/>
      <c r="J836" s="14" t="s">
        <v>38</v>
      </c>
      <c r="K836" s="15"/>
      <c r="L836" s="15"/>
      <c r="M836" s="15"/>
      <c r="N836" s="15" t="s">
        <v>37</v>
      </c>
      <c r="O836" s="15"/>
      <c r="P836" s="15"/>
      <c r="Q836" s="15"/>
      <c r="R836" s="15"/>
      <c r="S836" s="16"/>
      <c r="T836" s="14" t="s">
        <v>36</v>
      </c>
      <c r="U836" s="15"/>
      <c r="V836" s="16"/>
      <c r="W836" s="14"/>
      <c r="X836" s="15"/>
      <c r="Y836" s="15"/>
      <c r="Z836" s="16"/>
    </row>
    <row r="837" spans="1:31" ht="13.5" customHeight="1">
      <c r="B837" s="17" t="s">
        <v>35</v>
      </c>
      <c r="C837" s="18" t="s">
        <v>22</v>
      </c>
      <c r="D837" s="18"/>
      <c r="E837" s="18" t="s">
        <v>34</v>
      </c>
      <c r="F837" s="18" t="s">
        <v>33</v>
      </c>
      <c r="G837" s="18" t="s">
        <v>7</v>
      </c>
      <c r="H837" s="18" t="s">
        <v>32</v>
      </c>
      <c r="I837" s="19" t="s">
        <v>22</v>
      </c>
      <c r="J837" s="17" t="s">
        <v>31</v>
      </c>
      <c r="K837" s="18"/>
      <c r="L837" s="18" t="s">
        <v>30</v>
      </c>
      <c r="M837" s="18"/>
      <c r="N837" s="18" t="s">
        <v>29</v>
      </c>
      <c r="O837" s="18"/>
      <c r="P837" s="18" t="s">
        <v>28</v>
      </c>
      <c r="Q837" s="20" t="s">
        <v>27</v>
      </c>
      <c r="R837" s="21" t="s">
        <v>26</v>
      </c>
      <c r="S837" s="22" t="s">
        <v>7</v>
      </c>
      <c r="T837" s="23" t="s">
        <v>25</v>
      </c>
      <c r="U837" s="24" t="s">
        <v>24</v>
      </c>
      <c r="V837" s="25" t="s">
        <v>7</v>
      </c>
      <c r="W837" s="26" t="s">
        <v>23</v>
      </c>
      <c r="X837" s="4" t="s">
        <v>22</v>
      </c>
      <c r="Y837" s="4" t="s">
        <v>21</v>
      </c>
      <c r="Z837" s="5" t="s">
        <v>20</v>
      </c>
    </row>
    <row r="838" spans="1:31" ht="13.5" customHeight="1">
      <c r="B838" s="54" t="s">
        <v>3</v>
      </c>
      <c r="C838" s="28" t="s">
        <v>17</v>
      </c>
      <c r="D838" s="20" t="s">
        <v>13</v>
      </c>
      <c r="E838" s="20" t="s">
        <v>19</v>
      </c>
      <c r="F838" s="28" t="s">
        <v>19</v>
      </c>
      <c r="G838" s="20" t="s">
        <v>3</v>
      </c>
      <c r="H838" s="20" t="s">
        <v>19</v>
      </c>
      <c r="I838" s="29" t="s">
        <v>12</v>
      </c>
      <c r="J838" s="55" t="s">
        <v>18</v>
      </c>
      <c r="K838" s="20" t="s">
        <v>17</v>
      </c>
      <c r="L838" s="56" t="s">
        <v>16</v>
      </c>
      <c r="M838" s="20" t="s">
        <v>15</v>
      </c>
      <c r="N838" s="20" t="s">
        <v>14</v>
      </c>
      <c r="O838" s="20" t="s">
        <v>13</v>
      </c>
      <c r="P838" s="20" t="s">
        <v>12</v>
      </c>
      <c r="Q838" s="20" t="s">
        <v>11</v>
      </c>
      <c r="R838" s="21" t="s">
        <v>11</v>
      </c>
      <c r="S838" s="22" t="s">
        <v>10</v>
      </c>
      <c r="T838" s="23" t="s">
        <v>9</v>
      </c>
      <c r="U838" s="24" t="s">
        <v>9</v>
      </c>
      <c r="V838" s="33" t="s">
        <v>8</v>
      </c>
      <c r="W838" s="34" t="s">
        <v>7</v>
      </c>
      <c r="X838" s="4" t="s">
        <v>6</v>
      </c>
      <c r="Y838" s="6" t="s">
        <v>5</v>
      </c>
      <c r="Z838" s="7" t="s">
        <v>5</v>
      </c>
    </row>
    <row r="839" spans="1:31" ht="13.5" customHeight="1" thickBot="1">
      <c r="B839" s="57"/>
      <c r="C839" s="3">
        <f>C819</f>
        <v>1.05</v>
      </c>
      <c r="D839" s="37"/>
      <c r="E839" s="38"/>
      <c r="F839" s="38"/>
      <c r="G839" s="37"/>
      <c r="H839" s="37"/>
      <c r="I839" s="39"/>
      <c r="J839" s="58" t="s">
        <v>4</v>
      </c>
      <c r="K839" s="44"/>
      <c r="L839" s="59"/>
      <c r="M839" s="37"/>
      <c r="N839" s="37"/>
      <c r="O839" s="37"/>
      <c r="P839" s="37"/>
      <c r="Q839" s="42"/>
      <c r="R839" s="42"/>
      <c r="S839" s="52" t="s">
        <v>3</v>
      </c>
      <c r="T839" s="43"/>
      <c r="U839" s="44"/>
      <c r="V839" s="39" t="s">
        <v>3</v>
      </c>
      <c r="W839" s="45" t="s">
        <v>3</v>
      </c>
      <c r="X839" s="8" t="s">
        <v>2</v>
      </c>
      <c r="Y839" s="9" t="s">
        <v>1</v>
      </c>
      <c r="Z839" s="13" t="s">
        <v>0</v>
      </c>
    </row>
    <row r="840" spans="1:31" ht="13.5" customHeight="1">
      <c r="A840" s="1">
        <v>1</v>
      </c>
      <c r="B840" s="3">
        <f t="shared" ref="B840:B849" si="1223">B820</f>
        <v>1000</v>
      </c>
      <c r="C840" s="1">
        <f t="shared" ref="C840:C849" si="1224">IF(B840&lt;1,0.000001,C820*(1+AB820))</f>
        <v>4.4884037500204081E-2</v>
      </c>
      <c r="D840" s="1">
        <f t="shared" si="1193"/>
        <v>0.90050900219331464</v>
      </c>
      <c r="E840" s="1">
        <f t="shared" ref="E840:E849" si="1225">R840</f>
        <v>73.228692707599407</v>
      </c>
      <c r="F840" s="1">
        <f t="shared" ref="F840:F849" si="1226">F820</f>
        <v>20</v>
      </c>
      <c r="G840" s="1">
        <f t="shared" ref="G840:G849" si="1227">(E840-F840)*C840*(1-D840)*4200</f>
        <v>998.32234878533097</v>
      </c>
      <c r="H840" s="1">
        <f t="shared" ref="H840:H849" si="1228">(E840-F840)*D840+F840</f>
        <v>67.9329169581749</v>
      </c>
      <c r="I840" s="1">
        <f t="shared" ref="I840:I849" si="1229">B840*0.001*6/C840</f>
        <v>133.67781363191131</v>
      </c>
      <c r="J840" s="3">
        <f t="shared" ref="J840:J849" si="1230">J820</f>
        <v>10</v>
      </c>
      <c r="K840" s="47">
        <f t="shared" ref="K840:K849" si="1231">K839+C840</f>
        <v>4.4884037500204081E-2</v>
      </c>
      <c r="L840" s="3">
        <f t="shared" ref="L840:L849" si="1232">L820</f>
        <v>3</v>
      </c>
      <c r="M840" s="47">
        <f t="shared" ref="M840:M849" si="1233">K840/(J840*J840*3.14/4000)</f>
        <v>0.57177117834654878</v>
      </c>
      <c r="N840" s="47">
        <f t="shared" ref="N840:N849" si="1234">L840*26400/J840^1.27*M840^1.83*$N$69</f>
        <v>1911.4015331866451</v>
      </c>
      <c r="O840" s="1">
        <f t="shared" ref="O840:O849" si="1235">EXP(-(J840+2)*3.14/1000*$O$66/(M840*J840*J840*3.14/4000*4200)*L840)</f>
        <v>0.99402153777072444</v>
      </c>
      <c r="P840" s="1">
        <f t="shared" ref="P840:P849" si="1236">L840/M840</f>
        <v>5.2468541850525199</v>
      </c>
      <c r="Q840" s="1">
        <f t="shared" ref="Q840:Q849" si="1237">R841</f>
        <v>73.548832379401475</v>
      </c>
      <c r="R840" s="1">
        <f t="shared" ref="R840:R849" si="1238">(Q840-F840)*O840+F840</f>
        <v>73.228692707599407</v>
      </c>
      <c r="S840" s="47">
        <f t="shared" ref="S840:S849" si="1239">K840*(1-O840)*4200*(Q840-F840)</f>
        <v>60.350476344760068</v>
      </c>
      <c r="T840" s="1">
        <f t="shared" ref="T840:T849" si="1240">(U839*K839+H840*C840)/K840</f>
        <v>67.9329169581749</v>
      </c>
      <c r="U840" s="47">
        <f t="shared" ref="U840:U849" si="1241">(T840-F840)*O840+F840</f>
        <v>67.646351824601453</v>
      </c>
      <c r="V840" s="47">
        <f t="shared" ref="V840:V849" si="1242">K840*(1-O840)*4200*(T840-F840)</f>
        <v>54.021240846559351</v>
      </c>
      <c r="W840" s="2">
        <f t="shared" si="1194"/>
        <v>998.33234878533096</v>
      </c>
      <c r="X840" s="1">
        <f t="shared" ref="X840:X849" si="1243">C840*3600</f>
        <v>161.58253500073468</v>
      </c>
      <c r="Y840" s="1">
        <f t="shared" ref="Y840:Y849" si="1244">Y841-2*N840/1000</f>
        <v>6.0000000000000027</v>
      </c>
      <c r="Z840" s="2">
        <f t="shared" ref="Z840:Z849" si="1245">-1.1-1.8*LOG10(Y840/X840/X840)</f>
        <v>5.4495476516358181</v>
      </c>
      <c r="AA840" s="3">
        <f t="shared" ref="AA840:AA849" si="1246">AA820</f>
        <v>1000</v>
      </c>
      <c r="AB840" s="1">
        <f t="shared" ref="AB840" si="1247">((AA840/W840)-1)*AB$23+AC840+AD840</f>
        <v>1.6704369208291325E-3</v>
      </c>
      <c r="AC840" s="1">
        <f>((N852/N851)-1)*AB$24</f>
        <v>0</v>
      </c>
      <c r="AD840" s="64">
        <f t="shared" ref="AD840" si="1248">(AC$21-(X840/1000/SQRT(Y840/104))*1000/B840)*AB$21</f>
        <v>0</v>
      </c>
      <c r="AE840" s="1">
        <f t="shared" ref="AE840:AE850" si="1249">AE841</f>
        <v>18.840115807535312</v>
      </c>
    </row>
    <row r="841" spans="1:31" ht="13.5" customHeight="1">
      <c r="A841" s="1">
        <v>2</v>
      </c>
      <c r="B841" s="3">
        <f t="shared" si="1223"/>
        <v>1000</v>
      </c>
      <c r="C841" s="1">
        <f t="shared" si="1224"/>
        <v>3.9196143811431911E-2</v>
      </c>
      <c r="D841" s="1">
        <f t="shared" si="1193"/>
        <v>0.88668008428591738</v>
      </c>
      <c r="E841" s="1">
        <f t="shared" si="1225"/>
        <v>73.548832379401475</v>
      </c>
      <c r="F841" s="1">
        <f t="shared" si="1226"/>
        <v>20</v>
      </c>
      <c r="G841" s="1">
        <f t="shared" si="1227"/>
        <v>998.96179995330442</v>
      </c>
      <c r="H841" s="1">
        <f t="shared" si="1228"/>
        <v>67.480683207580171</v>
      </c>
      <c r="I841" s="1">
        <f t="shared" si="1229"/>
        <v>153.07628293398713</v>
      </c>
      <c r="J841" s="3">
        <f t="shared" si="1230"/>
        <v>14.142135623730951</v>
      </c>
      <c r="K841" s="47">
        <f t="shared" si="1231"/>
        <v>8.4080181311635999E-2</v>
      </c>
      <c r="L841" s="3">
        <f t="shared" si="1232"/>
        <v>3</v>
      </c>
      <c r="M841" s="47">
        <f t="shared" si="1233"/>
        <v>0.53554255612506996</v>
      </c>
      <c r="N841" s="47">
        <f t="shared" si="1234"/>
        <v>1091.8780709514826</v>
      </c>
      <c r="O841" s="1">
        <f t="shared" si="1235"/>
        <v>0.99570330748688474</v>
      </c>
      <c r="P841" s="1">
        <f t="shared" si="1236"/>
        <v>5.6017957222794141</v>
      </c>
      <c r="Q841" s="1">
        <f t="shared" si="1237"/>
        <v>73.779908107924825</v>
      </c>
      <c r="R841" s="1">
        <f t="shared" si="1238"/>
        <v>73.548832379401475</v>
      </c>
      <c r="S841" s="47">
        <f t="shared" si="1239"/>
        <v>81.601334434038009</v>
      </c>
      <c r="T841" s="1">
        <f t="shared" si="1240"/>
        <v>67.56912112841944</v>
      </c>
      <c r="U841" s="47">
        <f t="shared" si="1241"/>
        <v>67.364731241811484</v>
      </c>
      <c r="V841" s="47">
        <f t="shared" si="1242"/>
        <v>72.177582641897885</v>
      </c>
      <c r="W841" s="2">
        <f t="shared" si="1194"/>
        <v>998.97179995330441</v>
      </c>
      <c r="X841" s="1">
        <f t="shared" si="1243"/>
        <v>141.10611772115487</v>
      </c>
      <c r="Y841" s="1">
        <f t="shared" si="1244"/>
        <v>9.822803066373293</v>
      </c>
      <c r="Z841" s="2">
        <f t="shared" si="1245"/>
        <v>4.8523412486903581</v>
      </c>
      <c r="AA841" s="3">
        <f t="shared" si="1246"/>
        <v>1000</v>
      </c>
      <c r="AB841" s="1">
        <f t="shared" si="1163"/>
        <v>1.0292583301587666E-3</v>
      </c>
      <c r="AC841" s="1">
        <f t="shared" ref="AC841:AC849" si="1250">AC840</f>
        <v>0</v>
      </c>
      <c r="AD841" s="64">
        <f t="shared" si="1164"/>
        <v>0</v>
      </c>
      <c r="AE841" s="1">
        <f t="shared" si="1249"/>
        <v>18.840115807535312</v>
      </c>
    </row>
    <row r="842" spans="1:31" ht="13.5" customHeight="1">
      <c r="A842" s="1">
        <v>3</v>
      </c>
      <c r="B842" s="3">
        <f t="shared" si="1223"/>
        <v>1000</v>
      </c>
      <c r="C842" s="1">
        <f t="shared" si="1224"/>
        <v>3.5858009782517124E-2</v>
      </c>
      <c r="D842" s="1">
        <f t="shared" si="1193"/>
        <v>0.87662194622059419</v>
      </c>
      <c r="E842" s="1">
        <f t="shared" si="1225"/>
        <v>73.779908107924825</v>
      </c>
      <c r="F842" s="1">
        <f t="shared" si="1226"/>
        <v>20</v>
      </c>
      <c r="G842" s="1">
        <f t="shared" si="1227"/>
        <v>999.29437501305699</v>
      </c>
      <c r="H842" s="1">
        <f t="shared" si="1228"/>
        <v>67.144647713133764</v>
      </c>
      <c r="I842" s="1">
        <f t="shared" si="1229"/>
        <v>167.32663180111436</v>
      </c>
      <c r="J842" s="3">
        <f t="shared" si="1230"/>
        <v>17.320508075688775</v>
      </c>
      <c r="K842" s="47">
        <f t="shared" si="1231"/>
        <v>0.11993819109415313</v>
      </c>
      <c r="L842" s="3">
        <f t="shared" si="1232"/>
        <v>3</v>
      </c>
      <c r="M842" s="47">
        <f t="shared" si="1233"/>
        <v>0.50929168192846319</v>
      </c>
      <c r="N842" s="47">
        <f t="shared" si="1234"/>
        <v>769.86051318305636</v>
      </c>
      <c r="O842" s="1">
        <f t="shared" si="1235"/>
        <v>0.99639356296982118</v>
      </c>
      <c r="P842" s="1">
        <f t="shared" si="1236"/>
        <v>5.8905340622103273</v>
      </c>
      <c r="Q842" s="1">
        <f t="shared" si="1237"/>
        <v>73.97456397412887</v>
      </c>
      <c r="R842" s="1">
        <f t="shared" si="1238"/>
        <v>73.779908107924825</v>
      </c>
      <c r="S842" s="47">
        <f t="shared" si="1239"/>
        <v>98.056024409194961</v>
      </c>
      <c r="T842" s="1">
        <f t="shared" si="1240"/>
        <v>67.298932706313295</v>
      </c>
      <c r="U842" s="47">
        <f t="shared" si="1241"/>
        <v>67.128352083913313</v>
      </c>
      <c r="V842" s="47">
        <f t="shared" si="1242"/>
        <v>85.928351402749442</v>
      </c>
      <c r="W842" s="2">
        <f t="shared" si="1194"/>
        <v>999.30437501305698</v>
      </c>
      <c r="X842" s="1">
        <f t="shared" si="1243"/>
        <v>129.08883521706164</v>
      </c>
      <c r="Y842" s="1">
        <f t="shared" si="1244"/>
        <v>12.006559208276258</v>
      </c>
      <c r="Z842" s="2">
        <f t="shared" si="1245"/>
        <v>4.5562458353340745</v>
      </c>
      <c r="AA842" s="3">
        <f t="shared" si="1246"/>
        <v>1000</v>
      </c>
      <c r="AB842" s="1">
        <f t="shared" si="1163"/>
        <v>6.9610921790852487E-4</v>
      </c>
      <c r="AC842" s="1">
        <f t="shared" si="1250"/>
        <v>0</v>
      </c>
      <c r="AD842" s="64">
        <f t="shared" si="1164"/>
        <v>0</v>
      </c>
      <c r="AE842" s="1">
        <f t="shared" si="1249"/>
        <v>18.840115807535312</v>
      </c>
    </row>
    <row r="843" spans="1:31" ht="13.5" customHeight="1">
      <c r="A843" s="1">
        <v>4</v>
      </c>
      <c r="B843" s="3">
        <f t="shared" si="1223"/>
        <v>1000</v>
      </c>
      <c r="C843" s="1">
        <f t="shared" si="1224"/>
        <v>3.3436841266046277E-2</v>
      </c>
      <c r="D843" s="1">
        <f t="shared" si="1193"/>
        <v>0.86813684160160753</v>
      </c>
      <c r="E843" s="1">
        <f t="shared" si="1225"/>
        <v>73.97456397412887</v>
      </c>
      <c r="F843" s="1">
        <f t="shared" si="1226"/>
        <v>20</v>
      </c>
      <c r="G843" s="1">
        <f t="shared" si="1227"/>
        <v>999.51001555243852</v>
      </c>
      <c r="H843" s="1">
        <f t="shared" si="1228"/>
        <v>66.85730749532415</v>
      </c>
      <c r="I843" s="1">
        <f t="shared" si="1229"/>
        <v>179.44278744095217</v>
      </c>
      <c r="J843" s="3">
        <f t="shared" si="1230"/>
        <v>20</v>
      </c>
      <c r="K843" s="47">
        <f t="shared" si="1231"/>
        <v>0.15337503236019939</v>
      </c>
      <c r="L843" s="3">
        <f t="shared" si="1232"/>
        <v>3</v>
      </c>
      <c r="M843" s="47">
        <f t="shared" si="1233"/>
        <v>0.48845551707069867</v>
      </c>
      <c r="N843" s="47">
        <f t="shared" si="1234"/>
        <v>594.12371146947419</v>
      </c>
      <c r="O843" s="1">
        <f t="shared" si="1235"/>
        <v>0.99678803192057996</v>
      </c>
      <c r="P843" s="1">
        <f t="shared" si="1236"/>
        <v>6.1418079951091684</v>
      </c>
      <c r="Q843" s="1">
        <f t="shared" si="1237"/>
        <v>74.148487186520867</v>
      </c>
      <c r="R843" s="1">
        <f t="shared" si="1238"/>
        <v>73.97456397412887</v>
      </c>
      <c r="S843" s="47">
        <f t="shared" si="1239"/>
        <v>112.03700898100733</v>
      </c>
      <c r="T843" s="1">
        <f t="shared" si="1240"/>
        <v>67.069262447580641</v>
      </c>
      <c r="U843" s="47">
        <f t="shared" si="1241"/>
        <v>66.918077479077169</v>
      </c>
      <c r="V843" s="47">
        <f t="shared" si="1242"/>
        <v>97.389597633702891</v>
      </c>
      <c r="W843" s="2">
        <f t="shared" si="1194"/>
        <v>999.52001555243851</v>
      </c>
      <c r="X843" s="1">
        <f t="shared" si="1243"/>
        <v>120.3726285577666</v>
      </c>
      <c r="Y843" s="1">
        <f t="shared" si="1244"/>
        <v>13.546280234642371</v>
      </c>
      <c r="Z843" s="2">
        <f t="shared" si="1245"/>
        <v>4.3526237790362785</v>
      </c>
      <c r="AA843" s="3">
        <f t="shared" si="1246"/>
        <v>1000</v>
      </c>
      <c r="AB843" s="1">
        <f t="shared" si="1163"/>
        <v>4.8021494326566661E-4</v>
      </c>
      <c r="AC843" s="1">
        <f t="shared" si="1250"/>
        <v>0</v>
      </c>
      <c r="AD843" s="64">
        <f t="shared" si="1164"/>
        <v>0</v>
      </c>
      <c r="AE843" s="1">
        <f t="shared" si="1249"/>
        <v>18.840115807535312</v>
      </c>
    </row>
    <row r="844" spans="1:31" ht="13.5" customHeight="1">
      <c r="A844" s="1">
        <v>5</v>
      </c>
      <c r="B844" s="3">
        <f t="shared" si="1223"/>
        <v>1000</v>
      </c>
      <c r="C844" s="1">
        <f t="shared" si="1224"/>
        <v>3.1523931728941232E-2</v>
      </c>
      <c r="D844" s="1">
        <f t="shared" si="1193"/>
        <v>0.86056328475303567</v>
      </c>
      <c r="E844" s="1">
        <f t="shared" si="1225"/>
        <v>74.148487186520867</v>
      </c>
      <c r="F844" s="1">
        <f t="shared" si="1226"/>
        <v>20</v>
      </c>
      <c r="G844" s="1">
        <f t="shared" si="1227"/>
        <v>999.66189907994828</v>
      </c>
      <c r="H844" s="1">
        <f t="shared" si="1228"/>
        <v>66.598199997640052</v>
      </c>
      <c r="I844" s="1">
        <f t="shared" si="1229"/>
        <v>190.33158844496447</v>
      </c>
      <c r="J844" s="3">
        <f t="shared" si="1230"/>
        <v>22.360679774997898</v>
      </c>
      <c r="K844" s="47">
        <f t="shared" si="1231"/>
        <v>0.18489896408914064</v>
      </c>
      <c r="L844" s="3">
        <f t="shared" si="1232"/>
        <v>3</v>
      </c>
      <c r="M844" s="47">
        <f t="shared" si="1233"/>
        <v>0.47108016328443464</v>
      </c>
      <c r="N844" s="47">
        <f t="shared" si="1234"/>
        <v>482.56159664524404</v>
      </c>
      <c r="O844" s="1">
        <f t="shared" si="1235"/>
        <v>0.99704936814559819</v>
      </c>
      <c r="P844" s="1">
        <f t="shared" si="1236"/>
        <v>6.3683428720148054</v>
      </c>
      <c r="Q844" s="1">
        <f t="shared" si="1237"/>
        <v>74.308732261905021</v>
      </c>
      <c r="R844" s="1">
        <f t="shared" si="1238"/>
        <v>74.148487186520867</v>
      </c>
      <c r="S844" s="47">
        <f t="shared" si="1239"/>
        <v>124.44242344345024</v>
      </c>
      <c r="T844" s="1">
        <f t="shared" si="1240"/>
        <v>66.863540689560111</v>
      </c>
      <c r="U844" s="47">
        <f t="shared" si="1241"/>
        <v>66.725263633591439</v>
      </c>
      <c r="V844" s="47">
        <f t="shared" si="1242"/>
        <v>107.38259450479453</v>
      </c>
      <c r="W844" s="2">
        <f t="shared" si="1194"/>
        <v>999.67189907994828</v>
      </c>
      <c r="X844" s="1">
        <f t="shared" si="1243"/>
        <v>113.48615422418844</v>
      </c>
      <c r="Y844" s="1">
        <f t="shared" si="1244"/>
        <v>14.734527657581319</v>
      </c>
      <c r="Z844" s="2">
        <f t="shared" si="1245"/>
        <v>4.1947891716580283</v>
      </c>
      <c r="AA844" s="3">
        <f t="shared" si="1246"/>
        <v>1000</v>
      </c>
      <c r="AB844" s="1">
        <f t="shared" si="1163"/>
        <v>3.282086055971245E-4</v>
      </c>
      <c r="AC844" s="1">
        <f t="shared" si="1250"/>
        <v>0</v>
      </c>
      <c r="AD844" s="64">
        <f t="shared" si="1164"/>
        <v>0</v>
      </c>
      <c r="AE844" s="1">
        <f t="shared" si="1249"/>
        <v>18.840115807535312</v>
      </c>
    </row>
    <row r="845" spans="1:31" ht="13.5" customHeight="1">
      <c r="A845" s="1">
        <v>6</v>
      </c>
      <c r="B845" s="3">
        <f t="shared" si="1223"/>
        <v>1000</v>
      </c>
      <c r="C845" s="1">
        <f t="shared" si="1224"/>
        <v>2.9939742482066066E-2</v>
      </c>
      <c r="D845" s="1">
        <f t="shared" si="1193"/>
        <v>0.85360220381083873</v>
      </c>
      <c r="E845" s="1">
        <f t="shared" si="1225"/>
        <v>74.308732261905021</v>
      </c>
      <c r="F845" s="1">
        <f t="shared" si="1226"/>
        <v>20</v>
      </c>
      <c r="G845" s="1">
        <f t="shared" si="1227"/>
        <v>999.77334804365842</v>
      </c>
      <c r="H845" s="1">
        <f t="shared" si="1228"/>
        <v>66.358053544934933</v>
      </c>
      <c r="I845" s="1">
        <f t="shared" si="1229"/>
        <v>200.40252529205972</v>
      </c>
      <c r="J845" s="3">
        <f t="shared" si="1230"/>
        <v>24.494897427831781</v>
      </c>
      <c r="K845" s="47">
        <f t="shared" si="1231"/>
        <v>0.21483870657120671</v>
      </c>
      <c r="L845" s="3">
        <f t="shared" si="1232"/>
        <v>3</v>
      </c>
      <c r="M845" s="47">
        <f t="shared" si="1233"/>
        <v>0.45613313497071489</v>
      </c>
      <c r="N845" s="47">
        <f t="shared" si="1234"/>
        <v>405.17889782723523</v>
      </c>
      <c r="O845" s="1">
        <f t="shared" si="1235"/>
        <v>0.99723782725149313</v>
      </c>
      <c r="P845" s="1">
        <f t="shared" si="1236"/>
        <v>6.5770271221199685</v>
      </c>
      <c r="Q845" s="1">
        <f t="shared" si="1237"/>
        <v>74.459157863662654</v>
      </c>
      <c r="R845" s="1">
        <f t="shared" si="1238"/>
        <v>74.308732261905021</v>
      </c>
      <c r="S845" s="47">
        <f t="shared" si="1239"/>
        <v>135.7324152105912</v>
      </c>
      <c r="T845" s="1">
        <f t="shared" si="1240"/>
        <v>66.674089542727373</v>
      </c>
      <c r="U845" s="47">
        <f t="shared" si="1241"/>
        <v>66.545167644531091</v>
      </c>
      <c r="V845" s="47">
        <f t="shared" si="1242"/>
        <v>116.3291382002232</v>
      </c>
      <c r="W845" s="2">
        <f t="shared" si="1194"/>
        <v>999.78334804365841</v>
      </c>
      <c r="X845" s="1">
        <f t="shared" si="1243"/>
        <v>107.78307293543784</v>
      </c>
      <c r="Y845" s="1">
        <f t="shared" si="1244"/>
        <v>15.699650850871807</v>
      </c>
      <c r="Z845" s="2">
        <f t="shared" si="1245"/>
        <v>4.0645800313942697</v>
      </c>
      <c r="AA845" s="3">
        <f t="shared" si="1246"/>
        <v>1000</v>
      </c>
      <c r="AB845" s="1">
        <f t="shared" si="1163"/>
        <v>2.1669890458331231E-4</v>
      </c>
      <c r="AC845" s="1">
        <f t="shared" si="1250"/>
        <v>0</v>
      </c>
      <c r="AD845" s="64">
        <f t="shared" si="1164"/>
        <v>0</v>
      </c>
      <c r="AE845" s="1">
        <f t="shared" si="1249"/>
        <v>18.840115807535312</v>
      </c>
    </row>
    <row r="846" spans="1:31" ht="13.5" customHeight="1">
      <c r="A846" s="1">
        <v>7</v>
      </c>
      <c r="B846" s="3">
        <f t="shared" si="1223"/>
        <v>1000</v>
      </c>
      <c r="C846" s="1">
        <f t="shared" si="1224"/>
        <v>2.8587741643629028E-2</v>
      </c>
      <c r="D846" s="1">
        <f t="shared" si="1193"/>
        <v>0.84708932550327576</v>
      </c>
      <c r="E846" s="1">
        <f t="shared" si="1225"/>
        <v>74.459157863662654</v>
      </c>
      <c r="F846" s="1">
        <f t="shared" si="1226"/>
        <v>20</v>
      </c>
      <c r="G846" s="1">
        <f t="shared" si="1227"/>
        <v>999.85693745926505</v>
      </c>
      <c r="H846" s="1">
        <f t="shared" si="1228"/>
        <v>66.131771302206403</v>
      </c>
      <c r="I846" s="1">
        <f t="shared" si="1229"/>
        <v>209.88016733868659</v>
      </c>
      <c r="J846" s="3">
        <f t="shared" si="1230"/>
        <v>26.457513110645905</v>
      </c>
      <c r="K846" s="47">
        <f t="shared" si="1231"/>
        <v>0.24342644821483575</v>
      </c>
      <c r="L846" s="3">
        <f t="shared" si="1232"/>
        <v>3</v>
      </c>
      <c r="M846" s="47">
        <f t="shared" si="1233"/>
        <v>0.44299626608705323</v>
      </c>
      <c r="N846" s="47">
        <f t="shared" si="1234"/>
        <v>348.26518325378487</v>
      </c>
      <c r="O846" s="1">
        <f t="shared" si="1235"/>
        <v>0.99738144583714639</v>
      </c>
      <c r="P846" s="1">
        <f t="shared" si="1236"/>
        <v>6.772066109041357</v>
      </c>
      <c r="Q846" s="1">
        <f t="shared" si="1237"/>
        <v>74.602136515536102</v>
      </c>
      <c r="R846" s="1">
        <f t="shared" si="1238"/>
        <v>74.459157863662654</v>
      </c>
      <c r="S846" s="47">
        <f t="shared" si="1239"/>
        <v>146.18009866362613</v>
      </c>
      <c r="T846" s="1">
        <f t="shared" si="1240"/>
        <v>66.496618820368937</v>
      </c>
      <c r="U846" s="47">
        <f t="shared" si="1241"/>
        <v>66.374864905598244</v>
      </c>
      <c r="V846" s="47">
        <f t="shared" si="1242"/>
        <v>124.48011672130468</v>
      </c>
      <c r="W846" s="2">
        <f t="shared" si="1194"/>
        <v>999.86693745926505</v>
      </c>
      <c r="X846" s="1">
        <f t="shared" si="1243"/>
        <v>102.9158699170645</v>
      </c>
      <c r="Y846" s="1">
        <f t="shared" si="1244"/>
        <v>16.510008646526277</v>
      </c>
      <c r="Z846" s="2">
        <f t="shared" si="1245"/>
        <v>3.9529913164159605</v>
      </c>
      <c r="AA846" s="3">
        <f t="shared" si="1246"/>
        <v>1000</v>
      </c>
      <c r="AB846" s="1">
        <f t="shared" si="1163"/>
        <v>1.3308024873093238E-4</v>
      </c>
      <c r="AC846" s="1">
        <f t="shared" si="1250"/>
        <v>0</v>
      </c>
      <c r="AD846" s="64">
        <f t="shared" si="1164"/>
        <v>0</v>
      </c>
      <c r="AE846" s="1">
        <f t="shared" si="1249"/>
        <v>18.840115807535312</v>
      </c>
    </row>
    <row r="847" spans="1:31" ht="13.5" customHeight="1">
      <c r="A847" s="1">
        <v>8</v>
      </c>
      <c r="B847" s="3">
        <f t="shared" si="1223"/>
        <v>1000</v>
      </c>
      <c r="C847" s="1">
        <f t="shared" si="1224"/>
        <v>2.7409414847678188E-2</v>
      </c>
      <c r="D847" s="1">
        <f t="shared" si="1193"/>
        <v>0.84092325298651305</v>
      </c>
      <c r="E847" s="1">
        <f t="shared" si="1225"/>
        <v>74.602136515536102</v>
      </c>
      <c r="F847" s="1">
        <f t="shared" si="1226"/>
        <v>20</v>
      </c>
      <c r="G847" s="1">
        <f t="shared" si="1227"/>
        <v>999.92031614480879</v>
      </c>
      <c r="H847" s="1">
        <f t="shared" si="1228"/>
        <v>65.916206258658292</v>
      </c>
      <c r="I847" s="1">
        <f t="shared" si="1229"/>
        <v>218.90288549914999</v>
      </c>
      <c r="J847" s="3">
        <f t="shared" si="1230"/>
        <v>28.284271247461902</v>
      </c>
      <c r="K847" s="47">
        <f t="shared" si="1231"/>
        <v>0.27083586306251395</v>
      </c>
      <c r="L847" s="3">
        <f t="shared" si="1232"/>
        <v>3</v>
      </c>
      <c r="M847" s="47">
        <f t="shared" si="1233"/>
        <v>0.43126729787024504</v>
      </c>
      <c r="N847" s="47">
        <f t="shared" si="1234"/>
        <v>304.62055046698146</v>
      </c>
      <c r="O847" s="1">
        <f t="shared" si="1235"/>
        <v>0.99749522860089868</v>
      </c>
      <c r="P847" s="1">
        <f t="shared" si="1236"/>
        <v>6.9562427172546872</v>
      </c>
      <c r="Q847" s="1">
        <f t="shared" si="1237"/>
        <v>74.739245812856524</v>
      </c>
      <c r="R847" s="1">
        <f t="shared" si="1238"/>
        <v>74.602136515536102</v>
      </c>
      <c r="S847" s="47">
        <f t="shared" si="1239"/>
        <v>155.96328246941721</v>
      </c>
      <c r="T847" s="1">
        <f t="shared" si="1240"/>
        <v>66.328447252539675</v>
      </c>
      <c r="U847" s="47">
        <f t="shared" si="1241"/>
        <v>66.212405082896737</v>
      </c>
      <c r="V847" s="47">
        <f t="shared" si="1242"/>
        <v>131.99920090094281</v>
      </c>
      <c r="W847" s="2">
        <f t="shared" si="1194"/>
        <v>999.93031614480878</v>
      </c>
      <c r="X847" s="1">
        <f t="shared" si="1243"/>
        <v>98.673893451641476</v>
      </c>
      <c r="Y847" s="1">
        <f t="shared" si="1244"/>
        <v>17.206539013033847</v>
      </c>
      <c r="Z847" s="2">
        <f t="shared" si="1245"/>
        <v>3.8548798110722564</v>
      </c>
      <c r="AA847" s="3">
        <f t="shared" si="1246"/>
        <v>1000</v>
      </c>
      <c r="AB847" s="1">
        <f t="shared" si="1163"/>
        <v>6.9688711369364498E-5</v>
      </c>
      <c r="AC847" s="1">
        <f t="shared" si="1250"/>
        <v>0</v>
      </c>
      <c r="AD847" s="64">
        <f t="shared" si="1164"/>
        <v>0</v>
      </c>
      <c r="AE847" s="1">
        <f t="shared" si="1249"/>
        <v>18.840115807535312</v>
      </c>
    </row>
    <row r="848" spans="1:31" ht="13.5" customHeight="1">
      <c r="A848" s="1">
        <v>9</v>
      </c>
      <c r="B848" s="3">
        <f t="shared" si="1223"/>
        <v>1000</v>
      </c>
      <c r="C848" s="1">
        <f t="shared" si="1224"/>
        <v>2.6366339408601308E-2</v>
      </c>
      <c r="D848" s="1">
        <f t="shared" si="1193"/>
        <v>0.83503629983986438</v>
      </c>
      <c r="E848" s="1">
        <f t="shared" si="1225"/>
        <v>74.739245812856524</v>
      </c>
      <c r="F848" s="1">
        <f t="shared" si="1226"/>
        <v>20</v>
      </c>
      <c r="G848" s="1">
        <f t="shared" si="1227"/>
        <v>999.96851860003187</v>
      </c>
      <c r="H848" s="1">
        <f t="shared" si="1228"/>
        <v>65.709257279592492</v>
      </c>
      <c r="I848" s="1">
        <f t="shared" si="1229"/>
        <v>227.56287503614027</v>
      </c>
      <c r="J848" s="3">
        <f t="shared" si="1230"/>
        <v>30</v>
      </c>
      <c r="K848" s="47">
        <f t="shared" si="1231"/>
        <v>0.29720220247111528</v>
      </c>
      <c r="L848" s="3">
        <f t="shared" si="1232"/>
        <v>3</v>
      </c>
      <c r="M848" s="47">
        <f t="shared" si="1233"/>
        <v>0.42066836867815327</v>
      </c>
      <c r="N848" s="47">
        <f t="shared" si="1234"/>
        <v>270.0854198072542</v>
      </c>
      <c r="O848" s="1">
        <f t="shared" si="1235"/>
        <v>0.9975880112193718</v>
      </c>
      <c r="P848" s="1">
        <f t="shared" si="1236"/>
        <v>7.1315083884884451</v>
      </c>
      <c r="Q848" s="1">
        <f t="shared" si="1237"/>
        <v>74.871595485542812</v>
      </c>
      <c r="R848" s="1">
        <f t="shared" si="1238"/>
        <v>74.739245812856524</v>
      </c>
      <c r="S848" s="47">
        <f t="shared" si="1239"/>
        <v>165.20537971853634</v>
      </c>
      <c r="T848" s="1">
        <f t="shared" si="1240"/>
        <v>66.167768247623286</v>
      </c>
      <c r="U848" s="47">
        <f t="shared" si="1241"/>
        <v>66.056412108583373</v>
      </c>
      <c r="V848" s="47">
        <f t="shared" si="1242"/>
        <v>139.00021708163274</v>
      </c>
      <c r="W848" s="2">
        <f t="shared" si="1194"/>
        <v>999.97851860003186</v>
      </c>
      <c r="X848" s="1">
        <f t="shared" si="1243"/>
        <v>94.918821870964706</v>
      </c>
      <c r="Y848" s="1">
        <f t="shared" si="1244"/>
        <v>17.815780113967811</v>
      </c>
      <c r="Z848" s="2">
        <f t="shared" si="1245"/>
        <v>3.7670197018394194</v>
      </c>
      <c r="AA848" s="3">
        <f t="shared" si="1246"/>
        <v>1000</v>
      </c>
      <c r="AB848" s="1">
        <f t="shared" ref="AB848:AB909" si="1251">((AA848/W848)-1)*AB$23+AC848+AD848</f>
        <v>2.1481861428584992E-5</v>
      </c>
      <c r="AC848" s="1">
        <f t="shared" si="1250"/>
        <v>0</v>
      </c>
      <c r="AD848" s="64">
        <f t="shared" ref="AD848:AD909" si="1252">(AC$21-(X848/1000/SQRT(Y848/104))*1000/B848)*AB$21</f>
        <v>0</v>
      </c>
      <c r="AE848" s="1">
        <f t="shared" si="1249"/>
        <v>18.840115807535312</v>
      </c>
    </row>
    <row r="849" spans="1:31" ht="13.5" customHeight="1">
      <c r="A849" s="1">
        <v>10</v>
      </c>
      <c r="B849" s="3">
        <f t="shared" si="1223"/>
        <v>1000</v>
      </c>
      <c r="C849" s="1">
        <f t="shared" si="1224"/>
        <v>2.5431797282634727E-2</v>
      </c>
      <c r="D849" s="1">
        <f t="shared" si="1193"/>
        <v>0.82938065900869629</v>
      </c>
      <c r="E849" s="1">
        <f t="shared" si="1225"/>
        <v>74.871595485542812</v>
      </c>
      <c r="F849" s="1">
        <f t="shared" si="1226"/>
        <v>20</v>
      </c>
      <c r="G849" s="1">
        <f t="shared" si="1227"/>
        <v>1000.0050472008729</v>
      </c>
      <c r="H849" s="1">
        <f t="shared" si="1228"/>
        <v>65.509440024658105</v>
      </c>
      <c r="I849" s="1">
        <f t="shared" si="1229"/>
        <v>235.92512685278851</v>
      </c>
      <c r="J849" s="3">
        <f t="shared" si="1230"/>
        <v>31.622776601683793</v>
      </c>
      <c r="K849" s="47">
        <f t="shared" si="1231"/>
        <v>0.32263399975375001</v>
      </c>
      <c r="L849" s="3">
        <f t="shared" si="1232"/>
        <v>3</v>
      </c>
      <c r="M849" s="47">
        <f t="shared" si="1233"/>
        <v>0.41099872580095542</v>
      </c>
      <c r="N849" s="47">
        <f t="shared" si="1234"/>
        <v>242.08242697649746</v>
      </c>
      <c r="O849" s="1">
        <f t="shared" si="1235"/>
        <v>0.99766537246441478</v>
      </c>
      <c r="P849" s="1">
        <f t="shared" si="1236"/>
        <v>7.2992927025590939</v>
      </c>
      <c r="Q849" s="1">
        <f t="shared" si="1237"/>
        <v>75</v>
      </c>
      <c r="R849" s="1">
        <f t="shared" si="1238"/>
        <v>74.871595485542812</v>
      </c>
      <c r="S849" s="47">
        <f t="shared" si="1239"/>
        <v>173.99618076019414</v>
      </c>
      <c r="T849" s="1">
        <f t="shared" si="1240"/>
        <v>66.01329674204338</v>
      </c>
      <c r="U849" s="47">
        <f t="shared" si="1241"/>
        <v>65.905872832466343</v>
      </c>
      <c r="V849" s="47">
        <f t="shared" si="1242"/>
        <v>145.56614358729149</v>
      </c>
      <c r="W849" s="2">
        <f t="shared" si="1194"/>
        <v>1000.0150472008729</v>
      </c>
      <c r="X849" s="1">
        <f t="shared" si="1243"/>
        <v>91.554470217485019</v>
      </c>
      <c r="Y849" s="1">
        <f t="shared" si="1244"/>
        <v>18.355950953582319</v>
      </c>
      <c r="Z849" s="2">
        <f t="shared" si="1245"/>
        <v>3.6872479946141792</v>
      </c>
      <c r="AA849" s="3">
        <f t="shared" si="1246"/>
        <v>1000</v>
      </c>
      <c r="AB849" s="1">
        <f t="shared" si="1251"/>
        <v>-1.5046974458088336E-5</v>
      </c>
      <c r="AC849" s="1">
        <f t="shared" si="1250"/>
        <v>0</v>
      </c>
      <c r="AD849" s="64">
        <f t="shared" si="1252"/>
        <v>0</v>
      </c>
      <c r="AE849" s="1">
        <f t="shared" si="1249"/>
        <v>18.840115807535312</v>
      </c>
    </row>
    <row r="850" spans="1:31" ht="13.5" customHeight="1">
      <c r="K850" s="47"/>
      <c r="L850" s="47"/>
      <c r="M850" s="47"/>
      <c r="N850" s="47">
        <f>SUM(N840:N849)</f>
        <v>6420.0579037676553</v>
      </c>
      <c r="O850" s="2" t="s">
        <v>46</v>
      </c>
      <c r="P850" s="2"/>
      <c r="Q850" s="2"/>
      <c r="R850" s="49">
        <f>R830</f>
        <v>75</v>
      </c>
      <c r="S850" s="50" t="s">
        <v>45</v>
      </c>
      <c r="T850" s="2"/>
      <c r="U850" s="11">
        <f>U849</f>
        <v>65.905872832466343</v>
      </c>
      <c r="V850" s="47"/>
      <c r="W850" s="2"/>
      <c r="Y850" s="1">
        <f>N851</f>
        <v>18.840115807535312</v>
      </c>
      <c r="AE850" s="1">
        <f t="shared" si="1249"/>
        <v>18.840115807535312</v>
      </c>
    </row>
    <row r="851" spans="1:31" ht="13.5" customHeight="1">
      <c r="K851" s="47"/>
      <c r="L851" s="2" t="s">
        <v>44</v>
      </c>
      <c r="M851" s="2"/>
      <c r="N851" s="47">
        <f>N850*2/1000+Y851</f>
        <v>18.840115807535312</v>
      </c>
      <c r="O851" s="2" t="s">
        <v>1</v>
      </c>
      <c r="P851" s="1">
        <f>SUM(P840:P849)</f>
        <v>63.985471876129786</v>
      </c>
      <c r="Q851" s="1" t="s">
        <v>43</v>
      </c>
      <c r="S851" s="47"/>
      <c r="U851" s="47"/>
      <c r="V851" s="47"/>
      <c r="W851" s="2"/>
      <c r="Y851" s="3">
        <f>Y831</f>
        <v>6</v>
      </c>
      <c r="Z851" s="3" t="s">
        <v>42</v>
      </c>
      <c r="AE851" s="1">
        <f>N851</f>
        <v>18.840115807535312</v>
      </c>
    </row>
    <row r="852" spans="1:31" ht="13.5" customHeight="1">
      <c r="L852" s="60" t="s">
        <v>41</v>
      </c>
      <c r="N852" s="3">
        <f>N832</f>
        <v>15</v>
      </c>
      <c r="O852" s="1" t="s">
        <v>1</v>
      </c>
    </row>
    <row r="855" spans="1:31" ht="13.5" customHeight="1" thickBot="1"/>
    <row r="856" spans="1:31" ht="13.5" customHeight="1">
      <c r="B856" s="14" t="s">
        <v>40</v>
      </c>
      <c r="C856" s="15"/>
      <c r="D856" s="15"/>
      <c r="E856" s="15"/>
      <c r="F856" s="15"/>
      <c r="G856" s="15"/>
      <c r="H856" s="15" t="s">
        <v>39</v>
      </c>
      <c r="I856" s="16"/>
      <c r="J856" s="14" t="s">
        <v>38</v>
      </c>
      <c r="K856" s="15"/>
      <c r="L856" s="15"/>
      <c r="M856" s="15"/>
      <c r="N856" s="15" t="s">
        <v>37</v>
      </c>
      <c r="O856" s="15"/>
      <c r="P856" s="15"/>
      <c r="Q856" s="15"/>
      <c r="R856" s="15"/>
      <c r="S856" s="16"/>
      <c r="T856" s="14" t="s">
        <v>36</v>
      </c>
      <c r="U856" s="15"/>
      <c r="V856" s="16"/>
      <c r="W856" s="14"/>
      <c r="X856" s="15"/>
      <c r="Y856" s="15"/>
      <c r="Z856" s="16"/>
    </row>
    <row r="857" spans="1:31" ht="13.5" customHeight="1">
      <c r="B857" s="17" t="s">
        <v>35</v>
      </c>
      <c r="C857" s="18" t="s">
        <v>22</v>
      </c>
      <c r="D857" s="18"/>
      <c r="E857" s="18" t="s">
        <v>34</v>
      </c>
      <c r="F857" s="18" t="s">
        <v>33</v>
      </c>
      <c r="G857" s="18" t="s">
        <v>7</v>
      </c>
      <c r="H857" s="18" t="s">
        <v>32</v>
      </c>
      <c r="I857" s="19" t="s">
        <v>22</v>
      </c>
      <c r="J857" s="17" t="s">
        <v>31</v>
      </c>
      <c r="K857" s="18"/>
      <c r="L857" s="18" t="s">
        <v>30</v>
      </c>
      <c r="M857" s="18"/>
      <c r="N857" s="18" t="s">
        <v>29</v>
      </c>
      <c r="O857" s="18"/>
      <c r="P857" s="18" t="s">
        <v>28</v>
      </c>
      <c r="Q857" s="20" t="s">
        <v>27</v>
      </c>
      <c r="R857" s="21" t="s">
        <v>26</v>
      </c>
      <c r="S857" s="22" t="s">
        <v>7</v>
      </c>
      <c r="T857" s="23" t="s">
        <v>25</v>
      </c>
      <c r="U857" s="24" t="s">
        <v>24</v>
      </c>
      <c r="V857" s="25" t="s">
        <v>7</v>
      </c>
      <c r="W857" s="26" t="s">
        <v>23</v>
      </c>
      <c r="X857" s="4" t="s">
        <v>22</v>
      </c>
      <c r="Y857" s="4" t="s">
        <v>21</v>
      </c>
      <c r="Z857" s="5" t="s">
        <v>20</v>
      </c>
    </row>
    <row r="858" spans="1:31" ht="13.5" customHeight="1">
      <c r="B858" s="54" t="s">
        <v>3</v>
      </c>
      <c r="C858" s="28" t="s">
        <v>17</v>
      </c>
      <c r="D858" s="20" t="s">
        <v>13</v>
      </c>
      <c r="E858" s="20" t="s">
        <v>19</v>
      </c>
      <c r="F858" s="28" t="s">
        <v>19</v>
      </c>
      <c r="G858" s="20" t="s">
        <v>3</v>
      </c>
      <c r="H858" s="20" t="s">
        <v>19</v>
      </c>
      <c r="I858" s="29" t="s">
        <v>12</v>
      </c>
      <c r="J858" s="55" t="s">
        <v>18</v>
      </c>
      <c r="K858" s="20" t="s">
        <v>17</v>
      </c>
      <c r="L858" s="56" t="s">
        <v>16</v>
      </c>
      <c r="M858" s="20" t="s">
        <v>15</v>
      </c>
      <c r="N858" s="20" t="s">
        <v>14</v>
      </c>
      <c r="O858" s="20" t="s">
        <v>13</v>
      </c>
      <c r="P858" s="20" t="s">
        <v>12</v>
      </c>
      <c r="Q858" s="20" t="s">
        <v>11</v>
      </c>
      <c r="R858" s="21" t="s">
        <v>11</v>
      </c>
      <c r="S858" s="22" t="s">
        <v>10</v>
      </c>
      <c r="T858" s="23" t="s">
        <v>9</v>
      </c>
      <c r="U858" s="24" t="s">
        <v>9</v>
      </c>
      <c r="V858" s="33" t="s">
        <v>8</v>
      </c>
      <c r="W858" s="34" t="s">
        <v>7</v>
      </c>
      <c r="X858" s="4" t="s">
        <v>6</v>
      </c>
      <c r="Y858" s="6" t="s">
        <v>5</v>
      </c>
      <c r="Z858" s="7" t="s">
        <v>5</v>
      </c>
    </row>
    <row r="859" spans="1:31" ht="13.5" customHeight="1" thickBot="1">
      <c r="B859" s="57"/>
      <c r="C859" s="3">
        <f>C839</f>
        <v>1.05</v>
      </c>
      <c r="D859" s="37"/>
      <c r="E859" s="38"/>
      <c r="F859" s="38"/>
      <c r="G859" s="37"/>
      <c r="H859" s="37"/>
      <c r="I859" s="39"/>
      <c r="J859" s="58" t="s">
        <v>4</v>
      </c>
      <c r="K859" s="44"/>
      <c r="L859" s="59"/>
      <c r="M859" s="37"/>
      <c r="N859" s="37"/>
      <c r="O859" s="37"/>
      <c r="P859" s="37"/>
      <c r="Q859" s="42"/>
      <c r="R859" s="42"/>
      <c r="S859" s="52" t="s">
        <v>3</v>
      </c>
      <c r="T859" s="43"/>
      <c r="U859" s="44"/>
      <c r="V859" s="39" t="s">
        <v>3</v>
      </c>
      <c r="W859" s="45" t="s">
        <v>3</v>
      </c>
      <c r="X859" s="8" t="s">
        <v>2</v>
      </c>
      <c r="Y859" s="9" t="s">
        <v>1</v>
      </c>
      <c r="Z859" s="13" t="s">
        <v>0</v>
      </c>
    </row>
    <row r="860" spans="1:31" ht="13.5" customHeight="1">
      <c r="A860" s="1">
        <v>1</v>
      </c>
      <c r="B860" s="3">
        <f t="shared" ref="B860:B869" si="1253">B840</f>
        <v>1000</v>
      </c>
      <c r="C860" s="1">
        <f t="shared" ref="C860:C869" si="1254">IF(B860&lt;1,0.000001,C840*(1+AB840))</f>
        <v>4.4959013453600302E-2</v>
      </c>
      <c r="D860" s="1">
        <f t="shared" si="1193"/>
        <v>0.90066517663405554</v>
      </c>
      <c r="E860" s="1">
        <f t="shared" ref="E860:E869" si="1255">R860</f>
        <v>73.230534322008324</v>
      </c>
      <c r="F860" s="1">
        <f t="shared" ref="F860:F869" si="1256">F840</f>
        <v>20</v>
      </c>
      <c r="G860" s="1">
        <f t="shared" ref="G860:G869" si="1257">(E860-F860)*C860*(1-D860)*4200</f>
        <v>998.45480812553637</v>
      </c>
      <c r="H860" s="1">
        <f t="shared" ref="H860:H869" si="1258">(E860-F860)*D860+F860</f>
        <v>67.942888597456786</v>
      </c>
      <c r="I860" s="1">
        <f t="shared" ref="I860:I869" si="1259">B860*0.001*6/C860</f>
        <v>133.45488566363375</v>
      </c>
      <c r="J860" s="3">
        <f t="shared" ref="J860:J869" si="1260">J840</f>
        <v>10</v>
      </c>
      <c r="K860" s="47">
        <f t="shared" ref="K860:K869" si="1261">K859+C860</f>
        <v>4.4959013453600302E-2</v>
      </c>
      <c r="L860" s="3">
        <f t="shared" ref="L860:L869" si="1262">L840</f>
        <v>3</v>
      </c>
      <c r="M860" s="47">
        <f t="shared" ref="M860:M869" si="1263">K860/(J860*J860*3.14/4000)</f>
        <v>0.57272628603312492</v>
      </c>
      <c r="N860" s="47">
        <f t="shared" ref="N860:N869" si="1264">L860*26400/J860^1.27*M860^1.83*$N$69</f>
        <v>1917.2485458436111</v>
      </c>
      <c r="O860" s="1">
        <f t="shared" ref="O860:O869" si="1265">EXP(-(J860+2)*3.14/1000*$O$66/(M860*J860*J860*3.14/4000*4200)*L860)</f>
        <v>0.99403147794805014</v>
      </c>
      <c r="P860" s="1">
        <f t="shared" ref="P860:P869" si="1266">L860/M860</f>
        <v>5.2381042622976244</v>
      </c>
      <c r="Q860" s="1">
        <f t="shared" ref="Q860:Q869" si="1267">R861</f>
        <v>73.550149570605697</v>
      </c>
      <c r="R860" s="1">
        <f t="shared" ref="R860:R869" si="1268">(Q860-F860)*O860+F860</f>
        <v>73.230534322008324</v>
      </c>
      <c r="S860" s="47">
        <f t="shared" ref="S860:S869" si="1269">K860*(1-O860)*4200*(Q860-F860)</f>
        <v>60.352262298993544</v>
      </c>
      <c r="T860" s="1">
        <f t="shared" ref="T860:T869" si="1270">(U859*K859+H860*C860)/K860</f>
        <v>67.942888597456786</v>
      </c>
      <c r="U860" s="47">
        <f t="shared" ref="U860:U869" si="1271">(T860-F860)*O860+F860</f>
        <v>67.656740409628696</v>
      </c>
      <c r="V860" s="47">
        <f t="shared" ref="V860:V869" si="1272">K860*(1-O860)*4200*(T860-F860)</f>
        <v>54.032748950404304</v>
      </c>
      <c r="W860" s="2">
        <f t="shared" si="1194"/>
        <v>998.46480812553636</v>
      </c>
      <c r="X860" s="1">
        <f t="shared" ref="X860:X869" si="1273">C860*3600</f>
        <v>161.8524484329611</v>
      </c>
      <c r="Y860" s="1">
        <f t="shared" ref="Y860:Y869" si="1274">Y861-2*N860/1000</f>
        <v>5.9999999999999964</v>
      </c>
      <c r="Z860" s="2">
        <f t="shared" ref="Z860:Z869" si="1275">-1.1-1.8*LOG10(Y860/X860/X860)</f>
        <v>5.4521571342875141</v>
      </c>
      <c r="AA860" s="3">
        <f t="shared" ref="AA860:AA869" si="1276">AA840</f>
        <v>1000</v>
      </c>
      <c r="AB860" s="1">
        <f t="shared" ref="AB860" si="1277">((AA860/W860)-1)*AB$23+AC860+AD860</f>
        <v>1.5375523122800328E-3</v>
      </c>
      <c r="AC860" s="1">
        <f>((N872/N871)-1)*AB$24</f>
        <v>0</v>
      </c>
      <c r="AD860" s="64">
        <f t="shared" ref="AD860" si="1278">(AC$21-(X860/1000/SQRT(Y860/104))*1000/B860)*AB$21</f>
        <v>0</v>
      </c>
      <c r="AE860" s="1">
        <f t="shared" ref="AE860:AE870" si="1279">AE861</f>
        <v>18.868349556681167</v>
      </c>
    </row>
    <row r="861" spans="1:31" ht="13.5" customHeight="1">
      <c r="A861" s="1">
        <v>2</v>
      </c>
      <c r="B861" s="3">
        <f t="shared" si="1253"/>
        <v>1000</v>
      </c>
      <c r="C861" s="1">
        <f t="shared" si="1254"/>
        <v>3.9236486768959924E-2</v>
      </c>
      <c r="D861" s="1">
        <f t="shared" si="1193"/>
        <v>0.88678876085678682</v>
      </c>
      <c r="E861" s="1">
        <f t="shared" si="1255"/>
        <v>73.550149570605697</v>
      </c>
      <c r="F861" s="1">
        <f t="shared" si="1256"/>
        <v>20</v>
      </c>
      <c r="G861" s="1">
        <f t="shared" si="1257"/>
        <v>999.05554895688635</v>
      </c>
      <c r="H861" s="1">
        <f t="shared" si="1258"/>
        <v>67.487670781413016</v>
      </c>
      <c r="I861" s="1">
        <f t="shared" si="1259"/>
        <v>152.91888989272644</v>
      </c>
      <c r="J861" s="3">
        <f t="shared" si="1260"/>
        <v>14.142135623730951</v>
      </c>
      <c r="K861" s="47">
        <f t="shared" si="1261"/>
        <v>8.4195500222560227E-2</v>
      </c>
      <c r="L861" s="3">
        <f t="shared" si="1262"/>
        <v>3</v>
      </c>
      <c r="M861" s="47">
        <f t="shared" si="1263"/>
        <v>0.53627707148127524</v>
      </c>
      <c r="N861" s="47">
        <f t="shared" si="1264"/>
        <v>1094.6201453343479</v>
      </c>
      <c r="O861" s="1">
        <f t="shared" si="1265"/>
        <v>0.99570917983571705</v>
      </c>
      <c r="P861" s="1">
        <f t="shared" si="1266"/>
        <v>5.5941231865713812</v>
      </c>
      <c r="Q861" s="1">
        <f t="shared" si="1267"/>
        <v>73.780913799992277</v>
      </c>
      <c r="R861" s="1">
        <f t="shared" si="1268"/>
        <v>73.550149570605697</v>
      </c>
      <c r="S861" s="47">
        <f t="shared" si="1269"/>
        <v>81.60310085203875</v>
      </c>
      <c r="T861" s="1">
        <f t="shared" si="1270"/>
        <v>67.577951184397165</v>
      </c>
      <c r="U861" s="47">
        <f t="shared" si="1271"/>
        <v>67.373802752079882</v>
      </c>
      <c r="V861" s="47">
        <f t="shared" si="1272"/>
        <v>72.191193390140867</v>
      </c>
      <c r="W861" s="2">
        <f t="shared" si="1194"/>
        <v>999.06554895688635</v>
      </c>
      <c r="X861" s="1">
        <f t="shared" si="1273"/>
        <v>141.25135236825574</v>
      </c>
      <c r="Y861" s="1">
        <f t="shared" si="1274"/>
        <v>9.8344970916872185</v>
      </c>
      <c r="Z861" s="2">
        <f t="shared" si="1275"/>
        <v>4.8530195310948017</v>
      </c>
      <c r="AA861" s="3">
        <f t="shared" si="1276"/>
        <v>1000</v>
      </c>
      <c r="AB861" s="1">
        <f t="shared" si="1251"/>
        <v>9.3532505859039716E-4</v>
      </c>
      <c r="AC861" s="1">
        <f t="shared" ref="AC861:AC869" si="1280">AC860</f>
        <v>0</v>
      </c>
      <c r="AD861" s="64">
        <f t="shared" si="1252"/>
        <v>0</v>
      </c>
      <c r="AE861" s="1">
        <f t="shared" si="1279"/>
        <v>18.868349556681167</v>
      </c>
    </row>
    <row r="862" spans="1:31" ht="13.5" customHeight="1">
      <c r="A862" s="1">
        <v>3</v>
      </c>
      <c r="B862" s="3">
        <f t="shared" si="1253"/>
        <v>1000</v>
      </c>
      <c r="C862" s="1">
        <f t="shared" si="1254"/>
        <v>3.5882970873662587E-2</v>
      </c>
      <c r="D862" s="1">
        <f t="shared" si="1193"/>
        <v>0.87670143964034564</v>
      </c>
      <c r="E862" s="1">
        <f t="shared" si="1255"/>
        <v>73.780913799992277</v>
      </c>
      <c r="F862" s="1">
        <f t="shared" si="1256"/>
        <v>20</v>
      </c>
      <c r="G862" s="1">
        <f t="shared" si="1257"/>
        <v>999.36437977914579</v>
      </c>
      <c r="H862" s="1">
        <f t="shared" si="1258"/>
        <v>67.149804553626552</v>
      </c>
      <c r="I862" s="1">
        <f t="shared" si="1259"/>
        <v>167.21023521505253</v>
      </c>
      <c r="J862" s="3">
        <f t="shared" si="1260"/>
        <v>17.320508075688775</v>
      </c>
      <c r="K862" s="47">
        <f t="shared" si="1261"/>
        <v>0.12007847109622281</v>
      </c>
      <c r="L862" s="3">
        <f t="shared" si="1262"/>
        <v>3</v>
      </c>
      <c r="M862" s="47">
        <f t="shared" si="1263"/>
        <v>0.5098873507270606</v>
      </c>
      <c r="N862" s="47">
        <f t="shared" si="1264"/>
        <v>771.50910119937566</v>
      </c>
      <c r="O862" s="1">
        <f t="shared" si="1265"/>
        <v>0.99639776854213125</v>
      </c>
      <c r="P862" s="1">
        <f t="shared" si="1266"/>
        <v>5.8836525278029121</v>
      </c>
      <c r="Q862" s="1">
        <f t="shared" si="1267"/>
        <v>73.975345487456522</v>
      </c>
      <c r="R862" s="1">
        <f t="shared" si="1268"/>
        <v>73.780913799992277</v>
      </c>
      <c r="S862" s="47">
        <f t="shared" si="1269"/>
        <v>98.057651006136339</v>
      </c>
      <c r="T862" s="1">
        <f t="shared" si="1270"/>
        <v>67.306865517141134</v>
      </c>
      <c r="U862" s="47">
        <f t="shared" si="1271"/>
        <v>67.136455238002128</v>
      </c>
      <c r="V862" s="47">
        <f t="shared" si="1272"/>
        <v>85.94294426799128</v>
      </c>
      <c r="W862" s="2">
        <f t="shared" si="1194"/>
        <v>999.37437977914578</v>
      </c>
      <c r="X862" s="1">
        <f t="shared" si="1273"/>
        <v>129.17869514518532</v>
      </c>
      <c r="Y862" s="1">
        <f t="shared" si="1274"/>
        <v>12.023737382355915</v>
      </c>
      <c r="Z862" s="2">
        <f t="shared" si="1275"/>
        <v>4.5562161484685397</v>
      </c>
      <c r="AA862" s="3">
        <f t="shared" si="1276"/>
        <v>1000</v>
      </c>
      <c r="AB862" s="1">
        <f t="shared" si="1251"/>
        <v>6.2601186653643559E-4</v>
      </c>
      <c r="AC862" s="1">
        <f t="shared" si="1280"/>
        <v>0</v>
      </c>
      <c r="AD862" s="64">
        <f t="shared" si="1252"/>
        <v>0</v>
      </c>
      <c r="AE862" s="1">
        <f t="shared" si="1279"/>
        <v>18.868349556681167</v>
      </c>
    </row>
    <row r="863" spans="1:31" ht="13.5" customHeight="1">
      <c r="A863" s="1">
        <v>4</v>
      </c>
      <c r="B863" s="3">
        <f t="shared" si="1253"/>
        <v>1000</v>
      </c>
      <c r="C863" s="1">
        <f t="shared" si="1254"/>
        <v>3.3452898136877837E-2</v>
      </c>
      <c r="D863" s="1">
        <f t="shared" si="1193"/>
        <v>0.86819509904385084</v>
      </c>
      <c r="E863" s="1">
        <f t="shared" si="1255"/>
        <v>73.975345487456522</v>
      </c>
      <c r="F863" s="1">
        <f t="shared" si="1256"/>
        <v>20</v>
      </c>
      <c r="G863" s="1">
        <f t="shared" si="1257"/>
        <v>999.56267009907026</v>
      </c>
      <c r="H863" s="1">
        <f t="shared" si="1258"/>
        <v>66.861130421408376</v>
      </c>
      <c r="I863" s="1">
        <f t="shared" si="1259"/>
        <v>179.35665769375342</v>
      </c>
      <c r="J863" s="3">
        <f t="shared" si="1260"/>
        <v>20</v>
      </c>
      <c r="K863" s="47">
        <f t="shared" si="1261"/>
        <v>0.15353136923310065</v>
      </c>
      <c r="L863" s="3">
        <f t="shared" si="1262"/>
        <v>3</v>
      </c>
      <c r="M863" s="47">
        <f t="shared" si="1263"/>
        <v>0.48895340520095748</v>
      </c>
      <c r="N863" s="47">
        <f t="shared" si="1264"/>
        <v>595.2324225599973</v>
      </c>
      <c r="O863" s="1">
        <f t="shared" si="1265"/>
        <v>0.99679129732856087</v>
      </c>
      <c r="P863" s="1">
        <f t="shared" si="1266"/>
        <v>6.1355539568581481</v>
      </c>
      <c r="Q863" s="1">
        <f t="shared" si="1267"/>
        <v>74.149093829483192</v>
      </c>
      <c r="R863" s="1">
        <f t="shared" si="1268"/>
        <v>73.975345487456522</v>
      </c>
      <c r="S863" s="47">
        <f t="shared" si="1269"/>
        <v>112.03844758401077</v>
      </c>
      <c r="T863" s="1">
        <f t="shared" si="1270"/>
        <v>67.076464806795329</v>
      </c>
      <c r="U863" s="47">
        <f t="shared" si="1271"/>
        <v>66.925410428407844</v>
      </c>
      <c r="V863" s="47">
        <f t="shared" si="1272"/>
        <v>97.404659278432206</v>
      </c>
      <c r="W863" s="2">
        <f t="shared" si="1194"/>
        <v>999.57267009907025</v>
      </c>
      <c r="X863" s="1">
        <f t="shared" si="1273"/>
        <v>120.43043329276021</v>
      </c>
      <c r="Y863" s="1">
        <f t="shared" si="1274"/>
        <v>13.566755584754667</v>
      </c>
      <c r="Z863" s="2">
        <f t="shared" si="1275"/>
        <v>4.3521936943278483</v>
      </c>
      <c r="AA863" s="3">
        <f t="shared" si="1276"/>
        <v>1000</v>
      </c>
      <c r="AB863" s="1">
        <f t="shared" si="1251"/>
        <v>4.2751258984230489E-4</v>
      </c>
      <c r="AC863" s="1">
        <f t="shared" si="1280"/>
        <v>0</v>
      </c>
      <c r="AD863" s="64">
        <f t="shared" si="1252"/>
        <v>0</v>
      </c>
      <c r="AE863" s="1">
        <f t="shared" si="1279"/>
        <v>18.868349556681167</v>
      </c>
    </row>
    <row r="864" spans="1:31" ht="13.5" customHeight="1">
      <c r="A864" s="1">
        <v>5</v>
      </c>
      <c r="B864" s="3">
        <f t="shared" si="1253"/>
        <v>1000</v>
      </c>
      <c r="C864" s="1">
        <f t="shared" si="1254"/>
        <v>3.1534278154616929E-2</v>
      </c>
      <c r="D864" s="1">
        <f t="shared" si="1193"/>
        <v>0.86060514130967247</v>
      </c>
      <c r="E864" s="1">
        <f t="shared" si="1255"/>
        <v>74.149093829483192</v>
      </c>
      <c r="F864" s="1">
        <f t="shared" si="1256"/>
        <v>20</v>
      </c>
      <c r="G864" s="1">
        <f t="shared" si="1257"/>
        <v>999.70101638777498</v>
      </c>
      <c r="H864" s="1">
        <f t="shared" si="1258"/>
        <v>66.600988546913101</v>
      </c>
      <c r="I864" s="1">
        <f t="shared" si="1259"/>
        <v>190.26914047568079</v>
      </c>
      <c r="J864" s="3">
        <f t="shared" si="1260"/>
        <v>22.360679774997898</v>
      </c>
      <c r="K864" s="47">
        <f t="shared" si="1261"/>
        <v>0.18506564738771758</v>
      </c>
      <c r="L864" s="3">
        <f t="shared" si="1262"/>
        <v>3</v>
      </c>
      <c r="M864" s="47">
        <f t="shared" si="1263"/>
        <v>0.47150483410883454</v>
      </c>
      <c r="N864" s="47">
        <f t="shared" si="1264"/>
        <v>483.35798315082332</v>
      </c>
      <c r="O864" s="1">
        <f t="shared" si="1265"/>
        <v>0.99705202177367391</v>
      </c>
      <c r="P864" s="1">
        <f t="shared" si="1266"/>
        <v>6.3626070890028856</v>
      </c>
      <c r="Q864" s="1">
        <f t="shared" si="1267"/>
        <v>74.309196157244017</v>
      </c>
      <c r="R864" s="1">
        <f t="shared" si="1268"/>
        <v>74.149093829483192</v>
      </c>
      <c r="S864" s="47">
        <f t="shared" si="1269"/>
        <v>124.44365192842017</v>
      </c>
      <c r="T864" s="1">
        <f t="shared" si="1270"/>
        <v>66.870130531814908</v>
      </c>
      <c r="U864" s="47">
        <f t="shared" si="1271"/>
        <v>66.731958407542066</v>
      </c>
      <c r="V864" s="47">
        <f t="shared" si="1272"/>
        <v>107.3978372438643</v>
      </c>
      <c r="W864" s="2">
        <f t="shared" si="1194"/>
        <v>999.71101638777498</v>
      </c>
      <c r="X864" s="1">
        <f t="shared" si="1273"/>
        <v>113.52340135662095</v>
      </c>
      <c r="Y864" s="1">
        <f t="shared" si="1274"/>
        <v>14.757220429874661</v>
      </c>
      <c r="Z864" s="2">
        <f t="shared" si="1275"/>
        <v>4.1940992055191444</v>
      </c>
      <c r="AA864" s="3">
        <f t="shared" si="1276"/>
        <v>1000</v>
      </c>
      <c r="AB864" s="1">
        <f t="shared" si="1251"/>
        <v>2.8906714789367349E-4</v>
      </c>
      <c r="AC864" s="1">
        <f t="shared" si="1280"/>
        <v>0</v>
      </c>
      <c r="AD864" s="64">
        <f t="shared" si="1252"/>
        <v>0</v>
      </c>
      <c r="AE864" s="1">
        <f t="shared" si="1279"/>
        <v>18.868349556681167</v>
      </c>
    </row>
    <row r="865" spans="1:31" ht="13.5" customHeight="1">
      <c r="A865" s="1">
        <v>6</v>
      </c>
      <c r="B865" s="3">
        <f t="shared" si="1253"/>
        <v>1000</v>
      </c>
      <c r="C865" s="1">
        <f t="shared" si="1254"/>
        <v>2.9946230391465437E-2</v>
      </c>
      <c r="D865" s="1">
        <f t="shared" si="1193"/>
        <v>0.85363104254749855</v>
      </c>
      <c r="E865" s="1">
        <f t="shared" si="1255"/>
        <v>74.309196157244017</v>
      </c>
      <c r="F865" s="1">
        <f t="shared" si="1256"/>
        <v>20</v>
      </c>
      <c r="G865" s="1">
        <f t="shared" si="1257"/>
        <v>999.8015509823673</v>
      </c>
      <c r="H865" s="1">
        <f t="shared" si="1258"/>
        <v>66.360015735624813</v>
      </c>
      <c r="I865" s="1">
        <f t="shared" si="1259"/>
        <v>200.35910769289939</v>
      </c>
      <c r="J865" s="3">
        <f t="shared" si="1260"/>
        <v>24.494897427831781</v>
      </c>
      <c r="K865" s="47">
        <f t="shared" si="1261"/>
        <v>0.21501187777918301</v>
      </c>
      <c r="L865" s="3">
        <f t="shared" si="1262"/>
        <v>3</v>
      </c>
      <c r="M865" s="47">
        <f t="shared" si="1263"/>
        <v>0.45650080207894483</v>
      </c>
      <c r="N865" s="47">
        <f t="shared" si="1264"/>
        <v>405.77676720719046</v>
      </c>
      <c r="O865" s="1">
        <f t="shared" si="1265"/>
        <v>0.99724004884085848</v>
      </c>
      <c r="P865" s="1">
        <f t="shared" si="1266"/>
        <v>6.5717299648494283</v>
      </c>
      <c r="Q865" s="1">
        <f t="shared" si="1267"/>
        <v>74.459501722148332</v>
      </c>
      <c r="R865" s="1">
        <f t="shared" si="1268"/>
        <v>74.309196157244017</v>
      </c>
      <c r="S865" s="47">
        <f t="shared" si="1269"/>
        <v>135.73342335309599</v>
      </c>
      <c r="T865" s="1">
        <f t="shared" si="1270"/>
        <v>66.68015531154245</v>
      </c>
      <c r="U865" s="47">
        <f t="shared" si="1271"/>
        <v>66.551320362781453</v>
      </c>
      <c r="V865" s="47">
        <f t="shared" si="1272"/>
        <v>116.34438587808506</v>
      </c>
      <c r="W865" s="2">
        <f t="shared" si="1194"/>
        <v>999.81155098236729</v>
      </c>
      <c r="X865" s="1">
        <f t="shared" si="1273"/>
        <v>107.80642940927558</v>
      </c>
      <c r="Y865" s="1">
        <f t="shared" si="1274"/>
        <v>15.723936396176308</v>
      </c>
      <c r="Z865" s="2">
        <f t="shared" si="1275"/>
        <v>4.0637104830457602</v>
      </c>
      <c r="AA865" s="3">
        <f t="shared" si="1276"/>
        <v>1000</v>
      </c>
      <c r="AB865" s="1">
        <f t="shared" si="1251"/>
        <v>1.8848453735853532E-4</v>
      </c>
      <c r="AC865" s="1">
        <f t="shared" si="1280"/>
        <v>0</v>
      </c>
      <c r="AD865" s="64">
        <f t="shared" si="1252"/>
        <v>0</v>
      </c>
      <c r="AE865" s="1">
        <f t="shared" si="1279"/>
        <v>18.868349556681167</v>
      </c>
    </row>
    <row r="866" spans="1:31" ht="13.5" customHeight="1">
      <c r="A866" s="1">
        <v>7</v>
      </c>
      <c r="B866" s="3">
        <f t="shared" si="1253"/>
        <v>1000</v>
      </c>
      <c r="C866" s="1">
        <f t="shared" si="1254"/>
        <v>2.8591546107397618E-2</v>
      </c>
      <c r="D866" s="1">
        <f t="shared" si="1193"/>
        <v>0.8471076956248742</v>
      </c>
      <c r="E866" s="1">
        <f t="shared" si="1255"/>
        <v>74.459501722148332</v>
      </c>
      <c r="F866" s="1">
        <f t="shared" si="1256"/>
        <v>20</v>
      </c>
      <c r="G866" s="1">
        <f t="shared" si="1257"/>
        <v>999.87617681775419</v>
      </c>
      <c r="H866" s="1">
        <f t="shared" si="1258"/>
        <v>66.133063008727945</v>
      </c>
      <c r="I866" s="1">
        <f t="shared" si="1259"/>
        <v>209.85224015037065</v>
      </c>
      <c r="J866" s="3">
        <f t="shared" si="1260"/>
        <v>26.457513110645905</v>
      </c>
      <c r="K866" s="47">
        <f t="shared" si="1261"/>
        <v>0.24360342388658063</v>
      </c>
      <c r="L866" s="3">
        <f t="shared" si="1262"/>
        <v>3</v>
      </c>
      <c r="M866" s="47">
        <f t="shared" si="1263"/>
        <v>0.44331833282362265</v>
      </c>
      <c r="N866" s="47">
        <f t="shared" si="1264"/>
        <v>348.72867068682353</v>
      </c>
      <c r="O866" s="1">
        <f t="shared" si="1265"/>
        <v>0.99738334570185028</v>
      </c>
      <c r="P866" s="1">
        <f t="shared" si="1266"/>
        <v>6.767146264608848</v>
      </c>
      <c r="Q866" s="1">
        <f t="shared" si="1267"/>
        <v>74.60237726731404</v>
      </c>
      <c r="R866" s="1">
        <f t="shared" si="1268"/>
        <v>74.459501722148332</v>
      </c>
      <c r="S866" s="47">
        <f t="shared" si="1269"/>
        <v>146.18088236652076</v>
      </c>
      <c r="T866" s="1">
        <f t="shared" si="1270"/>
        <v>66.502229819502602</v>
      </c>
      <c r="U866" s="47">
        <f t="shared" si="1271"/>
        <v>66.380549559971854</v>
      </c>
      <c r="V866" s="47">
        <f t="shared" si="1272"/>
        <v>124.49525693261108</v>
      </c>
      <c r="W866" s="2">
        <f t="shared" si="1194"/>
        <v>999.88617681775418</v>
      </c>
      <c r="X866" s="1">
        <f t="shared" si="1273"/>
        <v>102.92956598663142</v>
      </c>
      <c r="Y866" s="1">
        <f t="shared" si="1274"/>
        <v>16.535489930590689</v>
      </c>
      <c r="Z866" s="2">
        <f t="shared" si="1275"/>
        <v>3.9519937886131289</v>
      </c>
      <c r="AA866" s="3">
        <f t="shared" si="1276"/>
        <v>1000</v>
      </c>
      <c r="AB866" s="1">
        <f t="shared" si="1251"/>
        <v>1.1383613943749538E-4</v>
      </c>
      <c r="AC866" s="1">
        <f t="shared" si="1280"/>
        <v>0</v>
      </c>
      <c r="AD866" s="64">
        <f t="shared" si="1252"/>
        <v>0</v>
      </c>
      <c r="AE866" s="1">
        <f t="shared" si="1279"/>
        <v>18.868349556681167</v>
      </c>
    </row>
    <row r="867" spans="1:31" ht="13.5" customHeight="1">
      <c r="A867" s="1">
        <v>8</v>
      </c>
      <c r="B867" s="3">
        <f t="shared" si="1253"/>
        <v>1000</v>
      </c>
      <c r="C867" s="1">
        <f t="shared" si="1254"/>
        <v>2.7411324974478311E-2</v>
      </c>
      <c r="D867" s="1">
        <f t="shared" si="1193"/>
        <v>0.8409331625734302</v>
      </c>
      <c r="E867" s="1">
        <f t="shared" si="1255"/>
        <v>74.60237726731404</v>
      </c>
      <c r="F867" s="1">
        <f t="shared" si="1256"/>
        <v>20</v>
      </c>
      <c r="G867" s="1">
        <f t="shared" si="1257"/>
        <v>999.93211443060852</v>
      </c>
      <c r="H867" s="1">
        <f t="shared" si="1258"/>
        <v>65.916949799429972</v>
      </c>
      <c r="I867" s="1">
        <f t="shared" si="1259"/>
        <v>218.88763150217591</v>
      </c>
      <c r="J867" s="3">
        <f t="shared" si="1260"/>
        <v>28.284271247461902</v>
      </c>
      <c r="K867" s="47">
        <f t="shared" si="1261"/>
        <v>0.27101474886105892</v>
      </c>
      <c r="L867" s="3">
        <f t="shared" si="1262"/>
        <v>3</v>
      </c>
      <c r="M867" s="47">
        <f t="shared" si="1263"/>
        <v>0.43155214786792812</v>
      </c>
      <c r="N867" s="47">
        <f t="shared" si="1264"/>
        <v>304.98884816349585</v>
      </c>
      <c r="O867" s="1">
        <f t="shared" si="1265"/>
        <v>0.99749687982756097</v>
      </c>
      <c r="P867" s="1">
        <f t="shared" si="1266"/>
        <v>6.9516511847326452</v>
      </c>
      <c r="Q867" s="1">
        <f t="shared" si="1267"/>
        <v>74.73939655505815</v>
      </c>
      <c r="R867" s="1">
        <f t="shared" si="1268"/>
        <v>74.60237726731404</v>
      </c>
      <c r="S867" s="47">
        <f t="shared" si="1269"/>
        <v>155.96384099977797</v>
      </c>
      <c r="T867" s="1">
        <f t="shared" si="1270"/>
        <v>66.333659552148646</v>
      </c>
      <c r="U867" s="47">
        <f t="shared" si="1271"/>
        <v>66.217680834260733</v>
      </c>
      <c r="V867" s="47">
        <f t="shared" si="1272"/>
        <v>132.01416102679721</v>
      </c>
      <c r="W867" s="2">
        <f t="shared" si="1194"/>
        <v>999.94211443060851</v>
      </c>
      <c r="X867" s="1">
        <f t="shared" si="1273"/>
        <v>98.680769908121917</v>
      </c>
      <c r="Y867" s="1">
        <f t="shared" si="1274"/>
        <v>17.232947271964335</v>
      </c>
      <c r="Z867" s="2">
        <f t="shared" si="1275"/>
        <v>3.8537898985693508</v>
      </c>
      <c r="AA867" s="3">
        <f t="shared" si="1276"/>
        <v>1000</v>
      </c>
      <c r="AB867" s="1">
        <f t="shared" si="1251"/>
        <v>5.7888920324655757E-5</v>
      </c>
      <c r="AC867" s="1">
        <f t="shared" si="1280"/>
        <v>0</v>
      </c>
      <c r="AD867" s="64">
        <f t="shared" si="1252"/>
        <v>0</v>
      </c>
      <c r="AE867" s="1">
        <f t="shared" si="1279"/>
        <v>18.868349556681167</v>
      </c>
    </row>
    <row r="868" spans="1:31" ht="13.5" customHeight="1">
      <c r="A868" s="1">
        <v>9</v>
      </c>
      <c r="B868" s="3">
        <f t="shared" si="1253"/>
        <v>1000</v>
      </c>
      <c r="C868" s="1">
        <f t="shared" si="1254"/>
        <v>2.6366905806650864E-2</v>
      </c>
      <c r="D868" s="1">
        <f t="shared" ref="D868:D929" si="1281">EXP((1+(E868-F868-55)/55*$B$18)*B868/C868/-210000)</f>
        <v>0.83503937659818106</v>
      </c>
      <c r="E868" s="1">
        <f t="shared" si="1255"/>
        <v>74.73939655505815</v>
      </c>
      <c r="F868" s="1">
        <f t="shared" si="1256"/>
        <v>20</v>
      </c>
      <c r="G868" s="1">
        <f t="shared" si="1257"/>
        <v>999.97410259260346</v>
      </c>
      <c r="H868" s="1">
        <f t="shared" si="1258"/>
        <v>65.709551574696377</v>
      </c>
      <c r="I868" s="1">
        <f t="shared" si="1259"/>
        <v>227.55798666700372</v>
      </c>
      <c r="J868" s="3">
        <f t="shared" si="1260"/>
        <v>30</v>
      </c>
      <c r="K868" s="47">
        <f t="shared" si="1261"/>
        <v>0.29738165466770977</v>
      </c>
      <c r="L868" s="3">
        <f t="shared" si="1262"/>
        <v>3</v>
      </c>
      <c r="M868" s="47">
        <f t="shared" si="1263"/>
        <v>0.42092237037184682</v>
      </c>
      <c r="N868" s="47">
        <f t="shared" si="1264"/>
        <v>270.38392905685447</v>
      </c>
      <c r="O868" s="1">
        <f t="shared" si="1265"/>
        <v>0.99758946495592293</v>
      </c>
      <c r="P868" s="1">
        <f t="shared" si="1266"/>
        <v>7.1272049460088605</v>
      </c>
      <c r="Q868" s="1">
        <f t="shared" si="1267"/>
        <v>74.871666630397641</v>
      </c>
      <c r="R868" s="1">
        <f t="shared" si="1268"/>
        <v>74.73939655505815</v>
      </c>
      <c r="S868" s="47">
        <f t="shared" si="1269"/>
        <v>165.20571424341384</v>
      </c>
      <c r="T868" s="1">
        <f t="shared" si="1270"/>
        <v>66.172628302894921</v>
      </c>
      <c r="U868" s="47">
        <f t="shared" si="1271"/>
        <v>66.061327564293649</v>
      </c>
      <c r="V868" s="47">
        <f t="shared" si="1272"/>
        <v>139.01495080613597</v>
      </c>
      <c r="W868" s="2">
        <f t="shared" ref="W868:W929" si="1282">G868+(S868+V868)*$AB$22+0.01</f>
        <v>999.98410259260345</v>
      </c>
      <c r="X868" s="1">
        <f t="shared" si="1273"/>
        <v>94.920860903943108</v>
      </c>
      <c r="Y868" s="1">
        <f t="shared" si="1274"/>
        <v>17.842924968291328</v>
      </c>
      <c r="Z868" s="2">
        <f t="shared" si="1275"/>
        <v>3.7658631179397166</v>
      </c>
      <c r="AA868" s="3">
        <f t="shared" si="1276"/>
        <v>1000</v>
      </c>
      <c r="AB868" s="1">
        <f t="shared" si="1251"/>
        <v>1.5897660128105784E-5</v>
      </c>
      <c r="AC868" s="1">
        <f t="shared" si="1280"/>
        <v>0</v>
      </c>
      <c r="AD868" s="64">
        <f t="shared" si="1252"/>
        <v>0</v>
      </c>
      <c r="AE868" s="1">
        <f t="shared" si="1279"/>
        <v>18.868349556681167</v>
      </c>
    </row>
    <row r="869" spans="1:31" ht="13.5" customHeight="1">
      <c r="A869" s="1">
        <v>10</v>
      </c>
      <c r="B869" s="3">
        <f t="shared" si="1253"/>
        <v>1000</v>
      </c>
      <c r="C869" s="1">
        <f t="shared" si="1254"/>
        <v>2.5431414611030594E-2</v>
      </c>
      <c r="D869" s="1">
        <f t="shared" si="1281"/>
        <v>0.82937824799392845</v>
      </c>
      <c r="E869" s="1">
        <f t="shared" si="1255"/>
        <v>74.871666630397641</v>
      </c>
      <c r="F869" s="1">
        <f t="shared" si="1256"/>
        <v>20</v>
      </c>
      <c r="G869" s="1">
        <f t="shared" si="1257"/>
        <v>1000.0054275424952</v>
      </c>
      <c r="H869" s="1">
        <f t="shared" si="1258"/>
        <v>65.509366734426095</v>
      </c>
      <c r="I869" s="1">
        <f t="shared" si="1259"/>
        <v>235.9286768655632</v>
      </c>
      <c r="J869" s="3">
        <f t="shared" si="1260"/>
        <v>31.622776601683793</v>
      </c>
      <c r="K869" s="47">
        <f t="shared" si="1261"/>
        <v>0.32281306927874037</v>
      </c>
      <c r="L869" s="3">
        <f t="shared" si="1262"/>
        <v>3</v>
      </c>
      <c r="M869" s="47">
        <f t="shared" si="1263"/>
        <v>0.4112268398455291</v>
      </c>
      <c r="N869" s="47">
        <f t="shared" si="1264"/>
        <v>242.3283651380639</v>
      </c>
      <c r="O869" s="1">
        <f t="shared" si="1265"/>
        <v>0.99766666600722986</v>
      </c>
      <c r="P869" s="1">
        <f t="shared" si="1266"/>
        <v>7.2952436692286495</v>
      </c>
      <c r="Q869" s="1">
        <f t="shared" si="1267"/>
        <v>75</v>
      </c>
      <c r="R869" s="1">
        <f t="shared" si="1268"/>
        <v>74.871666630397641</v>
      </c>
      <c r="S869" s="47">
        <f t="shared" si="1269"/>
        <v>173.99629351532417</v>
      </c>
      <c r="T869" s="1">
        <f t="shared" si="1270"/>
        <v>66.017843746414854</v>
      </c>
      <c r="U869" s="47">
        <f t="shared" si="1271"/>
        <v>65.910468747327357</v>
      </c>
      <c r="V869" s="47">
        <f t="shared" si="1272"/>
        <v>145.58062268079132</v>
      </c>
      <c r="W869" s="2">
        <f t="shared" si="1282"/>
        <v>1000.0154275424952</v>
      </c>
      <c r="X869" s="1">
        <f t="shared" si="1273"/>
        <v>91.553092599710141</v>
      </c>
      <c r="Y869" s="1">
        <f t="shared" si="1274"/>
        <v>18.383692826405039</v>
      </c>
      <c r="Z869" s="2">
        <f t="shared" si="1275"/>
        <v>3.686043910001382</v>
      </c>
      <c r="AA869" s="3">
        <f t="shared" si="1276"/>
        <v>1000</v>
      </c>
      <c r="AB869" s="1">
        <f t="shared" si="1251"/>
        <v>-1.5427304489779026E-5</v>
      </c>
      <c r="AC869" s="1">
        <f t="shared" si="1280"/>
        <v>0</v>
      </c>
      <c r="AD869" s="64">
        <f t="shared" si="1252"/>
        <v>0</v>
      </c>
      <c r="AE869" s="1">
        <f t="shared" si="1279"/>
        <v>18.868349556681167</v>
      </c>
    </row>
    <row r="870" spans="1:31" ht="13.5" customHeight="1">
      <c r="K870" s="47"/>
      <c r="L870" s="47"/>
      <c r="M870" s="47"/>
      <c r="N870" s="47">
        <f>SUM(N860:N869)</f>
        <v>6434.1747783405835</v>
      </c>
      <c r="O870" s="2" t="s">
        <v>46</v>
      </c>
      <c r="P870" s="2"/>
      <c r="Q870" s="2"/>
      <c r="R870" s="49">
        <f>R850</f>
        <v>75</v>
      </c>
      <c r="S870" s="50" t="s">
        <v>45</v>
      </c>
      <c r="T870" s="2"/>
      <c r="U870" s="11">
        <f>U869</f>
        <v>65.910468747327357</v>
      </c>
      <c r="V870" s="47"/>
      <c r="W870" s="2"/>
      <c r="Y870" s="1">
        <f>N871</f>
        <v>18.868349556681167</v>
      </c>
      <c r="AE870" s="1">
        <f t="shared" si="1279"/>
        <v>18.868349556681167</v>
      </c>
    </row>
    <row r="871" spans="1:31" ht="13.5" customHeight="1">
      <c r="K871" s="47"/>
      <c r="L871" s="2" t="s">
        <v>44</v>
      </c>
      <c r="M871" s="2"/>
      <c r="N871" s="47">
        <f>N870*2/1000+Y871</f>
        <v>18.868349556681167</v>
      </c>
      <c r="O871" s="2" t="s">
        <v>1</v>
      </c>
      <c r="P871" s="1">
        <f>SUM(P860:P869)</f>
        <v>63.927017051961379</v>
      </c>
      <c r="Q871" s="1" t="s">
        <v>43</v>
      </c>
      <c r="S871" s="47"/>
      <c r="U871" s="47"/>
      <c r="V871" s="47"/>
      <c r="W871" s="2"/>
      <c r="Y871" s="3">
        <f>Y851</f>
        <v>6</v>
      </c>
      <c r="Z871" s="3" t="s">
        <v>42</v>
      </c>
      <c r="AE871" s="1">
        <f>N871</f>
        <v>18.868349556681167</v>
      </c>
    </row>
    <row r="872" spans="1:31" ht="13.5" customHeight="1">
      <c r="L872" s="60" t="s">
        <v>41</v>
      </c>
      <c r="N872" s="3">
        <f>N852</f>
        <v>15</v>
      </c>
      <c r="O872" s="1" t="s">
        <v>1</v>
      </c>
    </row>
    <row r="875" spans="1:31" ht="13.5" customHeight="1" thickBot="1"/>
    <row r="876" spans="1:31" ht="13.5" customHeight="1">
      <c r="B876" s="14" t="s">
        <v>40</v>
      </c>
      <c r="C876" s="15"/>
      <c r="D876" s="15"/>
      <c r="E876" s="15"/>
      <c r="F876" s="15"/>
      <c r="G876" s="15"/>
      <c r="H876" s="15" t="s">
        <v>39</v>
      </c>
      <c r="I876" s="16"/>
      <c r="J876" s="14" t="s">
        <v>38</v>
      </c>
      <c r="K876" s="15"/>
      <c r="L876" s="15"/>
      <c r="M876" s="15"/>
      <c r="N876" s="15" t="s">
        <v>37</v>
      </c>
      <c r="O876" s="15"/>
      <c r="P876" s="15"/>
      <c r="Q876" s="15"/>
      <c r="R876" s="15"/>
      <c r="S876" s="16"/>
      <c r="T876" s="14" t="s">
        <v>36</v>
      </c>
      <c r="U876" s="15"/>
      <c r="V876" s="16"/>
      <c r="W876" s="14"/>
      <c r="X876" s="15"/>
      <c r="Y876" s="15"/>
      <c r="Z876" s="16"/>
    </row>
    <row r="877" spans="1:31" ht="13.5" customHeight="1">
      <c r="B877" s="17" t="s">
        <v>35</v>
      </c>
      <c r="C877" s="18" t="s">
        <v>22</v>
      </c>
      <c r="D877" s="18"/>
      <c r="E877" s="18" t="s">
        <v>34</v>
      </c>
      <c r="F877" s="18" t="s">
        <v>33</v>
      </c>
      <c r="G877" s="18" t="s">
        <v>7</v>
      </c>
      <c r="H877" s="18" t="s">
        <v>32</v>
      </c>
      <c r="I877" s="19" t="s">
        <v>22</v>
      </c>
      <c r="J877" s="17" t="s">
        <v>31</v>
      </c>
      <c r="K877" s="18"/>
      <c r="L877" s="18" t="s">
        <v>30</v>
      </c>
      <c r="M877" s="18"/>
      <c r="N877" s="18" t="s">
        <v>29</v>
      </c>
      <c r="O877" s="18"/>
      <c r="P877" s="18" t="s">
        <v>28</v>
      </c>
      <c r="Q877" s="20" t="s">
        <v>27</v>
      </c>
      <c r="R877" s="21" t="s">
        <v>26</v>
      </c>
      <c r="S877" s="22" t="s">
        <v>7</v>
      </c>
      <c r="T877" s="23" t="s">
        <v>25</v>
      </c>
      <c r="U877" s="24" t="s">
        <v>24</v>
      </c>
      <c r="V877" s="25" t="s">
        <v>7</v>
      </c>
      <c r="W877" s="26" t="s">
        <v>23</v>
      </c>
      <c r="X877" s="4" t="s">
        <v>22</v>
      </c>
      <c r="Y877" s="4" t="s">
        <v>21</v>
      </c>
      <c r="Z877" s="5" t="s">
        <v>20</v>
      </c>
    </row>
    <row r="878" spans="1:31" ht="13.5" customHeight="1">
      <c r="B878" s="54" t="s">
        <v>3</v>
      </c>
      <c r="C878" s="28" t="s">
        <v>17</v>
      </c>
      <c r="D878" s="20" t="s">
        <v>13</v>
      </c>
      <c r="E878" s="20" t="s">
        <v>19</v>
      </c>
      <c r="F878" s="28" t="s">
        <v>19</v>
      </c>
      <c r="G878" s="20" t="s">
        <v>3</v>
      </c>
      <c r="H878" s="20" t="s">
        <v>19</v>
      </c>
      <c r="I878" s="29" t="s">
        <v>12</v>
      </c>
      <c r="J878" s="55" t="s">
        <v>18</v>
      </c>
      <c r="K878" s="20" t="s">
        <v>17</v>
      </c>
      <c r="L878" s="56" t="s">
        <v>16</v>
      </c>
      <c r="M878" s="20" t="s">
        <v>15</v>
      </c>
      <c r="N878" s="20" t="s">
        <v>14</v>
      </c>
      <c r="O878" s="20" t="s">
        <v>13</v>
      </c>
      <c r="P878" s="20" t="s">
        <v>12</v>
      </c>
      <c r="Q878" s="20" t="s">
        <v>11</v>
      </c>
      <c r="R878" s="21" t="s">
        <v>11</v>
      </c>
      <c r="S878" s="22" t="s">
        <v>10</v>
      </c>
      <c r="T878" s="23" t="s">
        <v>9</v>
      </c>
      <c r="U878" s="24" t="s">
        <v>9</v>
      </c>
      <c r="V878" s="33" t="s">
        <v>8</v>
      </c>
      <c r="W878" s="34" t="s">
        <v>7</v>
      </c>
      <c r="X878" s="4" t="s">
        <v>6</v>
      </c>
      <c r="Y878" s="6" t="s">
        <v>5</v>
      </c>
      <c r="Z878" s="7" t="s">
        <v>5</v>
      </c>
    </row>
    <row r="879" spans="1:31" ht="13.5" customHeight="1" thickBot="1">
      <c r="B879" s="57"/>
      <c r="C879" s="3">
        <f>C859</f>
        <v>1.05</v>
      </c>
      <c r="D879" s="37"/>
      <c r="E879" s="38"/>
      <c r="F879" s="38"/>
      <c r="G879" s="37"/>
      <c r="H879" s="37"/>
      <c r="I879" s="39"/>
      <c r="J879" s="58" t="s">
        <v>4</v>
      </c>
      <c r="K879" s="44"/>
      <c r="L879" s="59"/>
      <c r="M879" s="37"/>
      <c r="N879" s="37"/>
      <c r="O879" s="37"/>
      <c r="P879" s="37"/>
      <c r="Q879" s="42"/>
      <c r="R879" s="42"/>
      <c r="S879" s="52" t="s">
        <v>3</v>
      </c>
      <c r="T879" s="43"/>
      <c r="U879" s="44"/>
      <c r="V879" s="39" t="s">
        <v>3</v>
      </c>
      <c r="W879" s="45" t="s">
        <v>3</v>
      </c>
      <c r="X879" s="8" t="s">
        <v>2</v>
      </c>
      <c r="Y879" s="9" t="s">
        <v>1</v>
      </c>
      <c r="Z879" s="13" t="s">
        <v>0</v>
      </c>
    </row>
    <row r="880" spans="1:31" ht="13.5" customHeight="1">
      <c r="A880" s="1">
        <v>1</v>
      </c>
      <c r="B880" s="3">
        <f t="shared" ref="B880:B889" si="1283">B860</f>
        <v>1000</v>
      </c>
      <c r="C880" s="1">
        <f t="shared" ref="C880:C889" si="1284">IF(B880&lt;1,0.000001,C860*(1+AB860))</f>
        <v>4.5028140288693716E-2</v>
      </c>
      <c r="D880" s="1">
        <f t="shared" si="1281"/>
        <v>0.90080874164535363</v>
      </c>
      <c r="E880" s="1">
        <f t="shared" ref="E880:E889" si="1285">R880</f>
        <v>73.232215289150332</v>
      </c>
      <c r="F880" s="1">
        <f t="shared" ref="F880:F889" si="1286">F860</f>
        <v>20</v>
      </c>
      <c r="G880" s="1">
        <f t="shared" ref="G880:G889" si="1287">(E880-F880)*C880*(1-D880)*4200</f>
        <v>998.57626847617712</v>
      </c>
      <c r="H880" s="1">
        <f t="shared" ref="H880:H889" si="1288">(E880-F880)*D880+F880</f>
        <v>67.95204486961407</v>
      </c>
      <c r="I880" s="1">
        <f t="shared" ref="I880:I889" si="1289">B880*0.001*6/C880</f>
        <v>133.25000680755545</v>
      </c>
      <c r="J880" s="3">
        <f t="shared" ref="J880:J889" si="1290">J860</f>
        <v>10</v>
      </c>
      <c r="K880" s="47">
        <f t="shared" ref="K880:K889" si="1291">K879+C880</f>
        <v>4.5028140288693716E-2</v>
      </c>
      <c r="L880" s="3">
        <f t="shared" ref="L880:L889" si="1292">L860</f>
        <v>3</v>
      </c>
      <c r="M880" s="47">
        <f t="shared" ref="M880:M889" si="1293">K880/(J880*J880*3.14/4000)</f>
        <v>0.57360688265851867</v>
      </c>
      <c r="N880" s="47">
        <f t="shared" ref="N880:N889" si="1294">L880*26400/J880^1.27*M880^1.83*$N$69</f>
        <v>1922.6465897349995</v>
      </c>
      <c r="O880" s="1">
        <f t="shared" ref="O880:O889" si="1295">EXP(-(J880+2)*3.14/1000*$O$66/(M880*J880*J880*3.14/4000*4200)*L880)</f>
        <v>0.99404061341775485</v>
      </c>
      <c r="P880" s="1">
        <f t="shared" ref="P880:P889" si="1296">L880/M880</f>
        <v>5.2300627671965518</v>
      </c>
      <c r="Q880" s="1">
        <f t="shared" ref="Q880:Q889" si="1297">R881</f>
        <v>73.55134847672366</v>
      </c>
      <c r="R880" s="1">
        <f t="shared" ref="R880:R889" si="1298">(Q880-F880)*O880+F880</f>
        <v>73.232215289150332</v>
      </c>
      <c r="S880" s="47">
        <f t="shared" ref="S880:S889" si="1299">K880*(1-O880)*4200*(Q880-F880)</f>
        <v>60.353890551483971</v>
      </c>
      <c r="T880" s="1">
        <f t="shared" ref="T880:T889" si="1300">(U879*K879+H880*C880)/K880</f>
        <v>67.95204486961407</v>
      </c>
      <c r="U880" s="47">
        <f t="shared" ref="U880:U889" si="1301">(T880-F880)*O880+F880</f>
        <v>67.666280096826881</v>
      </c>
      <c r="V880" s="47">
        <f t="shared" ref="V880:V889" si="1302">K880*(1-O880)*4200*(T880-F880)</f>
        <v>54.043316370239808</v>
      </c>
      <c r="W880" s="2">
        <f t="shared" si="1282"/>
        <v>998.58626847617711</v>
      </c>
      <c r="X880" s="1">
        <f t="shared" ref="X880:X889" si="1303">C880*3600</f>
        <v>162.10130503929739</v>
      </c>
      <c r="Y880" s="1">
        <f t="shared" ref="Y880:Y889" si="1304">Y881-2*N880/1000</f>
        <v>6.0000000000000027</v>
      </c>
      <c r="Z880" s="2">
        <f t="shared" ref="Z880:Z889" si="1305">-1.1-1.8*LOG10(Y880/X880/X880)</f>
        <v>5.454559189862815</v>
      </c>
      <c r="AA880" s="3">
        <f t="shared" ref="AA880:AA889" si="1306">AA860</f>
        <v>1000</v>
      </c>
      <c r="AB880" s="1">
        <f t="shared" ref="AB880" si="1307">((AA880/W880)-1)*AB$23+AC880+AD880</f>
        <v>1.415732990180496E-3</v>
      </c>
      <c r="AC880" s="1">
        <f>((N892/N891)-1)*AB$24</f>
        <v>0</v>
      </c>
      <c r="AD880" s="64">
        <f t="shared" ref="AD880" si="1308">(AC$21-(X880/1000/SQRT(Y880/104))*1000/B880)*AB$21</f>
        <v>0</v>
      </c>
      <c r="AE880" s="1">
        <f t="shared" ref="AE880:AE890" si="1309">AE881</f>
        <v>18.894260864280909</v>
      </c>
    </row>
    <row r="881" spans="1:31" ht="13.5" customHeight="1">
      <c r="A881" s="1">
        <v>2</v>
      </c>
      <c r="B881" s="3">
        <f t="shared" si="1283"/>
        <v>1000</v>
      </c>
      <c r="C881" s="1">
        <f t="shared" si="1284"/>
        <v>3.9273185638245986E-2</v>
      </c>
      <c r="D881" s="1">
        <f t="shared" si="1281"/>
        <v>0.88688743800621372</v>
      </c>
      <c r="E881" s="1">
        <f t="shared" si="1285"/>
        <v>73.55134847672366</v>
      </c>
      <c r="F881" s="1">
        <f t="shared" si="1286"/>
        <v>20</v>
      </c>
      <c r="G881" s="1">
        <f t="shared" si="1287"/>
        <v>999.14074837908265</v>
      </c>
      <c r="H881" s="1">
        <f t="shared" si="1288"/>
        <v>67.494018252299412</v>
      </c>
      <c r="I881" s="1">
        <f t="shared" si="1289"/>
        <v>152.77599467655438</v>
      </c>
      <c r="J881" s="3">
        <f t="shared" si="1290"/>
        <v>14.142135623730951</v>
      </c>
      <c r="K881" s="47">
        <f t="shared" si="1291"/>
        <v>8.4301325926939702E-2</v>
      </c>
      <c r="L881" s="3">
        <f t="shared" si="1292"/>
        <v>3</v>
      </c>
      <c r="M881" s="47">
        <f t="shared" si="1293"/>
        <v>0.53695112055375593</v>
      </c>
      <c r="N881" s="47">
        <f t="shared" si="1294"/>
        <v>1097.1392329461137</v>
      </c>
      <c r="O881" s="1">
        <f t="shared" si="1295"/>
        <v>0.99571455465873482</v>
      </c>
      <c r="P881" s="1">
        <f t="shared" si="1296"/>
        <v>5.5871007344320462</v>
      </c>
      <c r="Q881" s="1">
        <f t="shared" si="1297"/>
        <v>73.781827559081464</v>
      </c>
      <c r="R881" s="1">
        <f t="shared" si="1298"/>
        <v>73.55134847672366</v>
      </c>
      <c r="S881" s="47">
        <f t="shared" si="1299"/>
        <v>81.604707412982407</v>
      </c>
      <c r="T881" s="1">
        <f t="shared" si="1300"/>
        <v>67.586029029312513</v>
      </c>
      <c r="U881" s="47">
        <f t="shared" si="1301"/>
        <v>67.382101702899533</v>
      </c>
      <c r="V881" s="47">
        <f t="shared" si="1302"/>
        <v>72.203644839269131</v>
      </c>
      <c r="W881" s="2">
        <f t="shared" si="1282"/>
        <v>999.15074837908264</v>
      </c>
      <c r="X881" s="1">
        <f t="shared" si="1303"/>
        <v>141.38346829768554</v>
      </c>
      <c r="Y881" s="1">
        <f t="shared" si="1304"/>
        <v>9.8452931794700014</v>
      </c>
      <c r="Z881" s="2">
        <f t="shared" si="1305"/>
        <v>4.8536234962406439</v>
      </c>
      <c r="AA881" s="3">
        <f t="shared" si="1306"/>
        <v>1000</v>
      </c>
      <c r="AB881" s="1">
        <f t="shared" si="1251"/>
        <v>8.4997346225801351E-4</v>
      </c>
      <c r="AC881" s="1">
        <f t="shared" ref="AC881:AC889" si="1310">AC880</f>
        <v>0</v>
      </c>
      <c r="AD881" s="64">
        <f t="shared" si="1252"/>
        <v>0</v>
      </c>
      <c r="AE881" s="1">
        <f t="shared" si="1309"/>
        <v>18.894260864280909</v>
      </c>
    </row>
    <row r="882" spans="1:31" ht="13.5" customHeight="1">
      <c r="A882" s="1">
        <v>3</v>
      </c>
      <c r="B882" s="3">
        <f t="shared" si="1283"/>
        <v>1000</v>
      </c>
      <c r="C882" s="1">
        <f t="shared" si="1284"/>
        <v>3.590543403923608E-2</v>
      </c>
      <c r="D882" s="1">
        <f t="shared" si="1281"/>
        <v>0.87677288259827513</v>
      </c>
      <c r="E882" s="1">
        <f t="shared" si="1285"/>
        <v>73.781827559081464</v>
      </c>
      <c r="F882" s="1">
        <f t="shared" si="1286"/>
        <v>20</v>
      </c>
      <c r="G882" s="1">
        <f t="shared" si="1287"/>
        <v>999.42754932751063</v>
      </c>
      <c r="H882" s="1">
        <f t="shared" si="1288"/>
        <v>67.154447980379217</v>
      </c>
      <c r="I882" s="1">
        <f t="shared" si="1289"/>
        <v>167.10562511076822</v>
      </c>
      <c r="J882" s="3">
        <f t="shared" si="1290"/>
        <v>17.320508075688775</v>
      </c>
      <c r="K882" s="47">
        <f t="shared" si="1291"/>
        <v>0.12020675996617577</v>
      </c>
      <c r="L882" s="3">
        <f t="shared" si="1292"/>
        <v>3</v>
      </c>
      <c r="M882" s="47">
        <f t="shared" si="1293"/>
        <v>0.51043210176720055</v>
      </c>
      <c r="N882" s="47">
        <f t="shared" si="1294"/>
        <v>773.01816803454597</v>
      </c>
      <c r="O882" s="1">
        <f t="shared" si="1295"/>
        <v>0.99640160604467654</v>
      </c>
      <c r="P882" s="1">
        <f t="shared" si="1296"/>
        <v>5.8773732874823166</v>
      </c>
      <c r="Q882" s="1">
        <f t="shared" si="1297"/>
        <v>73.976054667930754</v>
      </c>
      <c r="R882" s="1">
        <f t="shared" si="1298"/>
        <v>73.781827559081464</v>
      </c>
      <c r="S882" s="47">
        <f t="shared" si="1299"/>
        <v>98.059128099958215</v>
      </c>
      <c r="T882" s="1">
        <f t="shared" si="1300"/>
        <v>67.314102151792426</v>
      </c>
      <c r="U882" s="47">
        <f t="shared" si="1301"/>
        <v>67.143847372607866</v>
      </c>
      <c r="V882" s="47">
        <f t="shared" si="1302"/>
        <v>85.956256573040619</v>
      </c>
      <c r="W882" s="2">
        <f t="shared" si="1282"/>
        <v>999.43754932751062</v>
      </c>
      <c r="X882" s="1">
        <f t="shared" si="1303"/>
        <v>129.25956254124989</v>
      </c>
      <c r="Y882" s="1">
        <f t="shared" si="1304"/>
        <v>12.039571645362228</v>
      </c>
      <c r="Z882" s="2">
        <f t="shared" si="1305"/>
        <v>4.5561657905717095</v>
      </c>
      <c r="AA882" s="3">
        <f t="shared" si="1306"/>
        <v>1000</v>
      </c>
      <c r="AB882" s="1">
        <f t="shared" si="1251"/>
        <v>5.6276720128023427E-4</v>
      </c>
      <c r="AC882" s="1">
        <f t="shared" si="1310"/>
        <v>0</v>
      </c>
      <c r="AD882" s="64">
        <f t="shared" si="1252"/>
        <v>0</v>
      </c>
      <c r="AE882" s="1">
        <f t="shared" si="1309"/>
        <v>18.894260864280909</v>
      </c>
    </row>
    <row r="883" spans="1:31" ht="13.5" customHeight="1">
      <c r="A883" s="1">
        <v>4</v>
      </c>
      <c r="B883" s="3">
        <f t="shared" si="1283"/>
        <v>1000</v>
      </c>
      <c r="C883" s="1">
        <f t="shared" si="1284"/>
        <v>3.3467199671998064E-2</v>
      </c>
      <c r="D883" s="1">
        <f t="shared" si="1281"/>
        <v>0.86824693282296905</v>
      </c>
      <c r="E883" s="1">
        <f t="shared" si="1285"/>
        <v>73.976054667930754</v>
      </c>
      <c r="F883" s="1">
        <f t="shared" si="1286"/>
        <v>20</v>
      </c>
      <c r="G883" s="1">
        <f t="shared" si="1287"/>
        <v>999.60987193702078</v>
      </c>
      <c r="H883" s="1">
        <f t="shared" si="1288"/>
        <v>66.864543911315778</v>
      </c>
      <c r="I883" s="1">
        <f t="shared" si="1289"/>
        <v>179.28001323099008</v>
      </c>
      <c r="J883" s="3">
        <f t="shared" si="1290"/>
        <v>20</v>
      </c>
      <c r="K883" s="47">
        <f t="shared" si="1291"/>
        <v>0.15367395963817385</v>
      </c>
      <c r="L883" s="3">
        <f t="shared" si="1292"/>
        <v>3</v>
      </c>
      <c r="M883" s="47">
        <f t="shared" si="1293"/>
        <v>0.48940751477125427</v>
      </c>
      <c r="N883" s="47">
        <f t="shared" si="1294"/>
        <v>596.24446376773494</v>
      </c>
      <c r="O883" s="1">
        <f t="shared" si="1295"/>
        <v>0.99679426983001962</v>
      </c>
      <c r="P883" s="1">
        <f t="shared" si="1296"/>
        <v>6.1298609225528127</v>
      </c>
      <c r="Q883" s="1">
        <f t="shared" si="1297"/>
        <v>74.14964381480155</v>
      </c>
      <c r="R883" s="1">
        <f t="shared" si="1298"/>
        <v>73.976054667930754</v>
      </c>
      <c r="S883" s="47">
        <f t="shared" si="1299"/>
        <v>112.03975250936364</v>
      </c>
      <c r="T883" s="1">
        <f t="shared" si="1300"/>
        <v>67.083020510788529</v>
      </c>
      <c r="U883" s="47">
        <f t="shared" si="1301"/>
        <v>66.932085051443295</v>
      </c>
      <c r="V883" s="47">
        <f t="shared" si="1302"/>
        <v>97.41836868703642</v>
      </c>
      <c r="W883" s="2">
        <f t="shared" si="1282"/>
        <v>999.61987193702078</v>
      </c>
      <c r="X883" s="1">
        <f t="shared" si="1303"/>
        <v>120.48191881919303</v>
      </c>
      <c r="Y883" s="1">
        <f t="shared" si="1304"/>
        <v>13.58560798143132</v>
      </c>
      <c r="Z883" s="2">
        <f t="shared" si="1305"/>
        <v>4.3517764104354963</v>
      </c>
      <c r="AA883" s="3">
        <f t="shared" si="1306"/>
        <v>1000</v>
      </c>
      <c r="AB883" s="1">
        <f t="shared" si="1251"/>
        <v>3.8027261527195932E-4</v>
      </c>
      <c r="AC883" s="1">
        <f t="shared" si="1310"/>
        <v>0</v>
      </c>
      <c r="AD883" s="64">
        <f t="shared" si="1252"/>
        <v>0</v>
      </c>
      <c r="AE883" s="1">
        <f t="shared" si="1309"/>
        <v>18.894260864280909</v>
      </c>
    </row>
    <row r="884" spans="1:31" ht="13.5" customHeight="1">
      <c r="A884" s="1">
        <v>5</v>
      </c>
      <c r="B884" s="3">
        <f t="shared" si="1283"/>
        <v>1000</v>
      </c>
      <c r="C884" s="1">
        <f t="shared" si="1284"/>
        <v>3.1543393678463968E-2</v>
      </c>
      <c r="D884" s="1">
        <f t="shared" si="1281"/>
        <v>0.86064198324842867</v>
      </c>
      <c r="E884" s="1">
        <f t="shared" si="1285"/>
        <v>74.14964381480155</v>
      </c>
      <c r="F884" s="1">
        <f t="shared" si="1286"/>
        <v>20</v>
      </c>
      <c r="G884" s="1">
        <f t="shared" si="1287"/>
        <v>999.73585471532704</v>
      </c>
      <c r="H884" s="1">
        <f t="shared" si="1288"/>
        <v>66.603456844966814</v>
      </c>
      <c r="I884" s="1">
        <f t="shared" si="1289"/>
        <v>190.21415581217116</v>
      </c>
      <c r="J884" s="3">
        <f t="shared" si="1290"/>
        <v>22.360679774997898</v>
      </c>
      <c r="K884" s="47">
        <f t="shared" si="1291"/>
        <v>0.1852173533166378</v>
      </c>
      <c r="L884" s="3">
        <f t="shared" si="1292"/>
        <v>3</v>
      </c>
      <c r="M884" s="47">
        <f t="shared" si="1293"/>
        <v>0.47189134602965038</v>
      </c>
      <c r="N884" s="47">
        <f t="shared" si="1294"/>
        <v>484.08332784837313</v>
      </c>
      <c r="O884" s="1">
        <f t="shared" si="1295"/>
        <v>0.99705443281374406</v>
      </c>
      <c r="P884" s="1">
        <f t="shared" si="1296"/>
        <v>6.3573956700860981</v>
      </c>
      <c r="Q884" s="1">
        <f t="shared" si="1297"/>
        <v>74.309616438882074</v>
      </c>
      <c r="R884" s="1">
        <f t="shared" si="1298"/>
        <v>74.14964381480155</v>
      </c>
      <c r="S884" s="47">
        <f t="shared" si="1299"/>
        <v>124.4447653483054</v>
      </c>
      <c r="T884" s="1">
        <f t="shared" si="1300"/>
        <v>66.876118109333859</v>
      </c>
      <c r="U884" s="47">
        <f t="shared" si="1301"/>
        <v>66.738041354011955</v>
      </c>
      <c r="V884" s="47">
        <f t="shared" si="1302"/>
        <v>107.41168693614843</v>
      </c>
      <c r="W884" s="2">
        <f t="shared" si="1282"/>
        <v>999.74585471532703</v>
      </c>
      <c r="X884" s="1">
        <f t="shared" si="1303"/>
        <v>113.55621724247028</v>
      </c>
      <c r="Y884" s="1">
        <f t="shared" si="1304"/>
        <v>14.77809690896679</v>
      </c>
      <c r="Z884" s="2">
        <f t="shared" si="1305"/>
        <v>4.1934459828342785</v>
      </c>
      <c r="AA884" s="3">
        <f t="shared" si="1306"/>
        <v>1000</v>
      </c>
      <c r="AB884" s="1">
        <f t="shared" si="1251"/>
        <v>2.5420989091795576E-4</v>
      </c>
      <c r="AC884" s="1">
        <f t="shared" si="1310"/>
        <v>0</v>
      </c>
      <c r="AD884" s="64">
        <f t="shared" si="1252"/>
        <v>0</v>
      </c>
      <c r="AE884" s="1">
        <f t="shared" si="1309"/>
        <v>18.894260864280909</v>
      </c>
    </row>
    <row r="885" spans="1:31" ht="13.5" customHeight="1">
      <c r="A885" s="1">
        <v>6</v>
      </c>
      <c r="B885" s="3">
        <f t="shared" si="1283"/>
        <v>1000</v>
      </c>
      <c r="C885" s="1">
        <f t="shared" si="1284"/>
        <v>2.9951874792846403E-2</v>
      </c>
      <c r="D885" s="1">
        <f t="shared" si="1281"/>
        <v>0.85365610686509996</v>
      </c>
      <c r="E885" s="1">
        <f t="shared" si="1285"/>
        <v>74.309616438882074</v>
      </c>
      <c r="F885" s="1">
        <f t="shared" si="1286"/>
        <v>20</v>
      </c>
      <c r="G885" s="1">
        <f t="shared" si="1287"/>
        <v>999.82649644309799</v>
      </c>
      <c r="H885" s="1">
        <f t="shared" si="1288"/>
        <v>66.361735734552909</v>
      </c>
      <c r="I885" s="1">
        <f t="shared" si="1289"/>
        <v>200.32135021588093</v>
      </c>
      <c r="J885" s="3">
        <f t="shared" si="1290"/>
        <v>24.494897427831781</v>
      </c>
      <c r="K885" s="47">
        <f t="shared" si="1291"/>
        <v>0.21516922810948419</v>
      </c>
      <c r="L885" s="3">
        <f t="shared" si="1292"/>
        <v>3</v>
      </c>
      <c r="M885" s="47">
        <f t="shared" si="1293"/>
        <v>0.45683487921334226</v>
      </c>
      <c r="N885" s="47">
        <f t="shared" si="1294"/>
        <v>406.32036207363285</v>
      </c>
      <c r="O885" s="1">
        <f t="shared" si="1295"/>
        <v>0.99724206436985274</v>
      </c>
      <c r="P885" s="1">
        <f t="shared" si="1296"/>
        <v>6.5669241480990284</v>
      </c>
      <c r="Q885" s="1">
        <f t="shared" si="1297"/>
        <v>74.459813097835763</v>
      </c>
      <c r="R885" s="1">
        <f t="shared" si="1298"/>
        <v>74.309616438882074</v>
      </c>
      <c r="S885" s="47">
        <f t="shared" si="1299"/>
        <v>135.73433652108582</v>
      </c>
      <c r="T885" s="1">
        <f t="shared" si="1300"/>
        <v>66.685659055219006</v>
      </c>
      <c r="U885" s="47">
        <f t="shared" si="1301"/>
        <v>66.556903012693709</v>
      </c>
      <c r="V885" s="47">
        <f t="shared" si="1302"/>
        <v>116.3582207953189</v>
      </c>
      <c r="W885" s="2">
        <f t="shared" si="1282"/>
        <v>999.83649644309799</v>
      </c>
      <c r="X885" s="1">
        <f t="shared" si="1303"/>
        <v>107.82674925424705</v>
      </c>
      <c r="Y885" s="1">
        <f t="shared" si="1304"/>
        <v>15.746263564663536</v>
      </c>
      <c r="Z885" s="2">
        <f t="shared" si="1305"/>
        <v>4.0628959148051678</v>
      </c>
      <c r="AA885" s="3">
        <f t="shared" si="1306"/>
        <v>1000</v>
      </c>
      <c r="AB885" s="1">
        <f t="shared" si="1251"/>
        <v>1.6353029468696434E-4</v>
      </c>
      <c r="AC885" s="1">
        <f t="shared" si="1310"/>
        <v>0</v>
      </c>
      <c r="AD885" s="64">
        <f t="shared" si="1252"/>
        <v>0</v>
      </c>
      <c r="AE885" s="1">
        <f t="shared" si="1309"/>
        <v>18.894260864280909</v>
      </c>
    </row>
    <row r="886" spans="1:31" ht="13.5" customHeight="1">
      <c r="A886" s="1">
        <v>7</v>
      </c>
      <c r="B886" s="3">
        <f t="shared" si="1283"/>
        <v>1000</v>
      </c>
      <c r="C886" s="1">
        <f t="shared" si="1284"/>
        <v>2.8594800858627034E-2</v>
      </c>
      <c r="D886" s="1">
        <f t="shared" si="1281"/>
        <v>0.84712339109078705</v>
      </c>
      <c r="E886" s="1">
        <f t="shared" si="1285"/>
        <v>74.459813097835763</v>
      </c>
      <c r="F886" s="1">
        <f t="shared" si="1286"/>
        <v>20</v>
      </c>
      <c r="G886" s="1">
        <f t="shared" si="1287"/>
        <v>999.89305980414622</v>
      </c>
      <c r="H886" s="1">
        <f t="shared" si="1288"/>
        <v>66.134181549609082</v>
      </c>
      <c r="I886" s="1">
        <f t="shared" si="1289"/>
        <v>209.82835410059531</v>
      </c>
      <c r="J886" s="3">
        <f t="shared" si="1290"/>
        <v>26.457513110645905</v>
      </c>
      <c r="K886" s="47">
        <f t="shared" si="1291"/>
        <v>0.24376402896811122</v>
      </c>
      <c r="L886" s="3">
        <f t="shared" si="1292"/>
        <v>3</v>
      </c>
      <c r="M886" s="47">
        <f t="shared" si="1293"/>
        <v>0.44361060776726341</v>
      </c>
      <c r="N886" s="47">
        <f t="shared" si="1294"/>
        <v>349.14952660877185</v>
      </c>
      <c r="O886" s="1">
        <f t="shared" si="1295"/>
        <v>0.99738506744085698</v>
      </c>
      <c r="P886" s="1">
        <f t="shared" si="1296"/>
        <v>6.7626876983381896</v>
      </c>
      <c r="Q886" s="1">
        <f t="shared" si="1297"/>
        <v>74.602595201842774</v>
      </c>
      <c r="R886" s="1">
        <f t="shared" si="1298"/>
        <v>74.459813097835763</v>
      </c>
      <c r="S886" s="47">
        <f t="shared" si="1299"/>
        <v>146.18159193662436</v>
      </c>
      <c r="T886" s="1">
        <f t="shared" si="1300"/>
        <v>66.507315564919963</v>
      </c>
      <c r="U886" s="47">
        <f t="shared" si="1301"/>
        <v>66.385702071210915</v>
      </c>
      <c r="V886" s="47">
        <f t="shared" si="1302"/>
        <v>124.50897985430382</v>
      </c>
      <c r="W886" s="2">
        <f t="shared" si="1282"/>
        <v>999.90305980414621</v>
      </c>
      <c r="X886" s="1">
        <f t="shared" si="1303"/>
        <v>102.94128309105733</v>
      </c>
      <c r="Y886" s="1">
        <f t="shared" si="1304"/>
        <v>16.558904288810801</v>
      </c>
      <c r="Z886" s="2">
        <f t="shared" si="1305"/>
        <v>3.9510656050090813</v>
      </c>
      <c r="AA886" s="3">
        <f t="shared" si="1306"/>
        <v>1000</v>
      </c>
      <c r="AB886" s="1">
        <f t="shared" si="1251"/>
        <v>9.6949594166506614E-5</v>
      </c>
      <c r="AC886" s="1">
        <f t="shared" si="1310"/>
        <v>0</v>
      </c>
      <c r="AD886" s="64">
        <f t="shared" si="1252"/>
        <v>0</v>
      </c>
      <c r="AE886" s="1">
        <f t="shared" si="1309"/>
        <v>18.894260864280909</v>
      </c>
    </row>
    <row r="887" spans="1:31" ht="13.5" customHeight="1">
      <c r="A887" s="1">
        <v>8</v>
      </c>
      <c r="B887" s="3">
        <f t="shared" si="1283"/>
        <v>1000</v>
      </c>
      <c r="C887" s="1">
        <f t="shared" si="1284"/>
        <v>2.7412911786485753E-2</v>
      </c>
      <c r="D887" s="1">
        <f t="shared" si="1281"/>
        <v>0.84094137576769479</v>
      </c>
      <c r="E887" s="1">
        <f t="shared" si="1285"/>
        <v>74.602595201842774</v>
      </c>
      <c r="F887" s="1">
        <f t="shared" si="1286"/>
        <v>20</v>
      </c>
      <c r="G887" s="1">
        <f t="shared" si="1287"/>
        <v>999.94235738750626</v>
      </c>
      <c r="H887" s="1">
        <f t="shared" si="1288"/>
        <v>65.917581529524199</v>
      </c>
      <c r="I887" s="1">
        <f t="shared" si="1289"/>
        <v>218.87496106699362</v>
      </c>
      <c r="J887" s="3">
        <f t="shared" si="1290"/>
        <v>28.284271247461902</v>
      </c>
      <c r="K887" s="47">
        <f t="shared" si="1291"/>
        <v>0.27117694075459697</v>
      </c>
      <c r="L887" s="3">
        <f t="shared" si="1292"/>
        <v>3</v>
      </c>
      <c r="M887" s="47">
        <f t="shared" si="1293"/>
        <v>0.43181041521432634</v>
      </c>
      <c r="N887" s="47">
        <f t="shared" si="1294"/>
        <v>305.32295019192469</v>
      </c>
      <c r="O887" s="1">
        <f t="shared" si="1295"/>
        <v>0.99749837507845951</v>
      </c>
      <c r="P887" s="1">
        <f t="shared" si="1296"/>
        <v>6.9474933774141814</v>
      </c>
      <c r="Q887" s="1">
        <f t="shared" si="1297"/>
        <v>74.739532981743395</v>
      </c>
      <c r="R887" s="1">
        <f t="shared" si="1298"/>
        <v>74.602595201842774</v>
      </c>
      <c r="S887" s="47">
        <f t="shared" si="1299"/>
        <v>155.96434655413768</v>
      </c>
      <c r="T887" s="1">
        <f t="shared" si="1300"/>
        <v>66.338380396001398</v>
      </c>
      <c r="U887" s="47">
        <f t="shared" si="1301"/>
        <v>66.222459148778938</v>
      </c>
      <c r="V887" s="47">
        <f t="shared" si="1302"/>
        <v>132.02771059902537</v>
      </c>
      <c r="W887" s="2">
        <f t="shared" si="1282"/>
        <v>999.95235738750625</v>
      </c>
      <c r="X887" s="1">
        <f t="shared" si="1303"/>
        <v>98.686482431348708</v>
      </c>
      <c r="Y887" s="1">
        <f t="shared" si="1304"/>
        <v>17.257203342028344</v>
      </c>
      <c r="Z887" s="2">
        <f t="shared" si="1305"/>
        <v>3.8527808599356397</v>
      </c>
      <c r="AA887" s="3">
        <f t="shared" si="1306"/>
        <v>1000</v>
      </c>
      <c r="AB887" s="1">
        <f t="shared" si="1251"/>
        <v>4.764488242048337E-5</v>
      </c>
      <c r="AC887" s="1">
        <f t="shared" si="1310"/>
        <v>0</v>
      </c>
      <c r="AD887" s="64">
        <f t="shared" si="1252"/>
        <v>0</v>
      </c>
      <c r="AE887" s="1">
        <f t="shared" si="1309"/>
        <v>18.894260864280909</v>
      </c>
    </row>
    <row r="888" spans="1:31" ht="13.5" customHeight="1">
      <c r="A888" s="1">
        <v>9</v>
      </c>
      <c r="B888" s="3">
        <f t="shared" si="1283"/>
        <v>1000</v>
      </c>
      <c r="C888" s="1">
        <f t="shared" si="1284"/>
        <v>2.6367324978758006E-2</v>
      </c>
      <c r="D888" s="1">
        <f t="shared" si="1281"/>
        <v>0.83504162761504219</v>
      </c>
      <c r="E888" s="1">
        <f t="shared" si="1285"/>
        <v>74.739532981743395</v>
      </c>
      <c r="F888" s="1">
        <f t="shared" si="1286"/>
        <v>20</v>
      </c>
      <c r="G888" s="1">
        <f t="shared" si="1287"/>
        <v>999.97884642989368</v>
      </c>
      <c r="H888" s="1">
        <f t="shared" si="1288"/>
        <v>65.70978871596229</v>
      </c>
      <c r="I888" s="1">
        <f t="shared" si="1289"/>
        <v>227.55436908498334</v>
      </c>
      <c r="J888" s="3">
        <f t="shared" si="1290"/>
        <v>30</v>
      </c>
      <c r="K888" s="47">
        <f t="shared" si="1291"/>
        <v>0.29754426573335496</v>
      </c>
      <c r="L888" s="3">
        <f t="shared" si="1292"/>
        <v>3</v>
      </c>
      <c r="M888" s="47">
        <f t="shared" si="1293"/>
        <v>0.4211525346544302</v>
      </c>
      <c r="N888" s="47">
        <f t="shared" si="1294"/>
        <v>270.65455312927008</v>
      </c>
      <c r="O888" s="1">
        <f t="shared" si="1295"/>
        <v>0.99759078075042862</v>
      </c>
      <c r="P888" s="1">
        <f t="shared" si="1296"/>
        <v>7.1233098536652539</v>
      </c>
      <c r="Q888" s="1">
        <f t="shared" si="1297"/>
        <v>74.871731012355667</v>
      </c>
      <c r="R888" s="1">
        <f t="shared" si="1298"/>
        <v>74.739532981743395</v>
      </c>
      <c r="S888" s="47">
        <f t="shared" si="1299"/>
        <v>165.2060169896788</v>
      </c>
      <c r="T888" s="1">
        <f t="shared" si="1300"/>
        <v>66.177028100475056</v>
      </c>
      <c r="U888" s="47">
        <f t="shared" si="1301"/>
        <v>66.065777515487383</v>
      </c>
      <c r="V888" s="47">
        <f t="shared" si="1302"/>
        <v>139.02828921475378</v>
      </c>
      <c r="W888" s="2">
        <f t="shared" si="1282"/>
        <v>999.98884642989367</v>
      </c>
      <c r="X888" s="1">
        <f t="shared" si="1303"/>
        <v>94.922369923528819</v>
      </c>
      <c r="Y888" s="1">
        <f t="shared" si="1304"/>
        <v>17.867849242412195</v>
      </c>
      <c r="Z888" s="2">
        <f t="shared" si="1305"/>
        <v>3.7647967585809341</v>
      </c>
      <c r="AA888" s="3">
        <f t="shared" si="1306"/>
        <v>1000</v>
      </c>
      <c r="AB888" s="1">
        <f t="shared" si="1251"/>
        <v>1.1153694509768997E-5</v>
      </c>
      <c r="AC888" s="1">
        <f t="shared" si="1310"/>
        <v>0</v>
      </c>
      <c r="AD888" s="64">
        <f t="shared" si="1252"/>
        <v>0</v>
      </c>
      <c r="AE888" s="1">
        <f t="shared" si="1309"/>
        <v>18.894260864280909</v>
      </c>
    </row>
    <row r="889" spans="1:31" ht="13.5" customHeight="1">
      <c r="A889" s="1">
        <v>10</v>
      </c>
      <c r="B889" s="3">
        <f t="shared" si="1283"/>
        <v>1000</v>
      </c>
      <c r="C889" s="1">
        <f t="shared" si="1284"/>
        <v>2.5431022272853782E-2</v>
      </c>
      <c r="D889" s="1">
        <f t="shared" si="1281"/>
        <v>0.82937578519178923</v>
      </c>
      <c r="E889" s="1">
        <f t="shared" si="1285"/>
        <v>74.871731012355667</v>
      </c>
      <c r="F889" s="1">
        <f t="shared" si="1286"/>
        <v>20</v>
      </c>
      <c r="G889" s="1">
        <f t="shared" si="1287"/>
        <v>1000.0056076139155</v>
      </c>
      <c r="H889" s="1">
        <f t="shared" si="1288"/>
        <v>65.509284993205142</v>
      </c>
      <c r="I889" s="1">
        <f t="shared" si="1289"/>
        <v>235.93231666525139</v>
      </c>
      <c r="J889" s="3">
        <f t="shared" si="1290"/>
        <v>31.622776601683793</v>
      </c>
      <c r="K889" s="47">
        <f t="shared" si="1291"/>
        <v>0.32297528800620873</v>
      </c>
      <c r="L889" s="3">
        <f t="shared" si="1292"/>
        <v>3</v>
      </c>
      <c r="M889" s="47">
        <f t="shared" si="1293"/>
        <v>0.41143348790599837</v>
      </c>
      <c r="N889" s="47">
        <f t="shared" si="1294"/>
        <v>242.55125780508666</v>
      </c>
      <c r="O889" s="1">
        <f t="shared" si="1295"/>
        <v>0.99766783658828473</v>
      </c>
      <c r="P889" s="1">
        <f t="shared" si="1296"/>
        <v>7.2915795339571883</v>
      </c>
      <c r="Q889" s="1">
        <f t="shared" si="1297"/>
        <v>75</v>
      </c>
      <c r="R889" s="1">
        <f t="shared" si="1298"/>
        <v>74.871731012355667</v>
      </c>
      <c r="S889" s="47">
        <f t="shared" si="1299"/>
        <v>173.99639555212116</v>
      </c>
      <c r="T889" s="1">
        <f t="shared" si="1300"/>
        <v>66.021959383715753</v>
      </c>
      <c r="U889" s="47">
        <f t="shared" si="1301"/>
        <v>65.914628653905595</v>
      </c>
      <c r="V889" s="47">
        <f t="shared" si="1302"/>
        <v>145.59372816386656</v>
      </c>
      <c r="W889" s="2">
        <f t="shared" si="1282"/>
        <v>1000.0156076139154</v>
      </c>
      <c r="X889" s="1">
        <f t="shared" si="1303"/>
        <v>91.551680182273614</v>
      </c>
      <c r="Y889" s="1">
        <f t="shared" si="1304"/>
        <v>18.409158348670736</v>
      </c>
      <c r="Z889" s="2">
        <f t="shared" si="1305"/>
        <v>3.6849376683416613</v>
      </c>
      <c r="AA889" s="3">
        <f t="shared" si="1306"/>
        <v>1000</v>
      </c>
      <c r="AB889" s="1">
        <f t="shared" si="1251"/>
        <v>-1.5607370321690794E-5</v>
      </c>
      <c r="AC889" s="1">
        <f t="shared" si="1310"/>
        <v>0</v>
      </c>
      <c r="AD889" s="64">
        <f t="shared" si="1252"/>
        <v>0</v>
      </c>
      <c r="AE889" s="1">
        <f t="shared" si="1309"/>
        <v>18.894260864280909</v>
      </c>
    </row>
    <row r="890" spans="1:31" ht="13.5" customHeight="1">
      <c r="K890" s="47"/>
      <c r="L890" s="47"/>
      <c r="M890" s="47"/>
      <c r="N890" s="47">
        <f>SUM(N880:N889)</f>
        <v>6447.130432140455</v>
      </c>
      <c r="O890" s="2" t="s">
        <v>46</v>
      </c>
      <c r="P890" s="2"/>
      <c r="Q890" s="2"/>
      <c r="R890" s="49">
        <f>R870</f>
        <v>75</v>
      </c>
      <c r="S890" s="50" t="s">
        <v>45</v>
      </c>
      <c r="T890" s="2"/>
      <c r="U890" s="11">
        <f>U889</f>
        <v>65.914628653905595</v>
      </c>
      <c r="V890" s="47"/>
      <c r="W890" s="2"/>
      <c r="Y890" s="1">
        <f>N891</f>
        <v>18.894260864280909</v>
      </c>
      <c r="AE890" s="1">
        <f t="shared" si="1309"/>
        <v>18.894260864280909</v>
      </c>
    </row>
    <row r="891" spans="1:31" ht="13.5" customHeight="1">
      <c r="K891" s="47"/>
      <c r="L891" s="2" t="s">
        <v>44</v>
      </c>
      <c r="M891" s="2"/>
      <c r="N891" s="47">
        <f>N890*2/1000+Y891</f>
        <v>18.894260864280909</v>
      </c>
      <c r="O891" s="2" t="s">
        <v>1</v>
      </c>
      <c r="P891" s="1">
        <f>SUM(P880:P889)</f>
        <v>63.873787993223672</v>
      </c>
      <c r="Q891" s="1" t="s">
        <v>43</v>
      </c>
      <c r="S891" s="47"/>
      <c r="U891" s="47"/>
      <c r="V891" s="47"/>
      <c r="W891" s="2"/>
      <c r="Y891" s="3">
        <f>Y871</f>
        <v>6</v>
      </c>
      <c r="Z891" s="3" t="s">
        <v>42</v>
      </c>
      <c r="AE891" s="1">
        <f>N891</f>
        <v>18.894260864280909</v>
      </c>
    </row>
    <row r="892" spans="1:31" ht="13.5" customHeight="1">
      <c r="L892" s="60" t="s">
        <v>41</v>
      </c>
      <c r="N892" s="3">
        <f>N872</f>
        <v>15</v>
      </c>
      <c r="O892" s="1" t="s">
        <v>1</v>
      </c>
    </row>
    <row r="895" spans="1:31" ht="13.5" customHeight="1" thickBot="1"/>
    <row r="896" spans="1:31" ht="13.5" customHeight="1">
      <c r="B896" s="14" t="s">
        <v>40</v>
      </c>
      <c r="C896" s="15"/>
      <c r="D896" s="15"/>
      <c r="E896" s="15"/>
      <c r="F896" s="15"/>
      <c r="G896" s="15"/>
      <c r="H896" s="15" t="s">
        <v>39</v>
      </c>
      <c r="I896" s="16"/>
      <c r="J896" s="14" t="s">
        <v>38</v>
      </c>
      <c r="K896" s="15"/>
      <c r="L896" s="15"/>
      <c r="M896" s="15"/>
      <c r="N896" s="15" t="s">
        <v>37</v>
      </c>
      <c r="O896" s="15"/>
      <c r="P896" s="15"/>
      <c r="Q896" s="15"/>
      <c r="R896" s="15"/>
      <c r="S896" s="16"/>
      <c r="T896" s="14" t="s">
        <v>36</v>
      </c>
      <c r="U896" s="15"/>
      <c r="V896" s="16"/>
      <c r="W896" s="14"/>
      <c r="X896" s="15"/>
      <c r="Y896" s="15"/>
      <c r="Z896" s="16"/>
    </row>
    <row r="897" spans="1:31" ht="13.5" customHeight="1">
      <c r="B897" s="17" t="s">
        <v>35</v>
      </c>
      <c r="C897" s="18" t="s">
        <v>22</v>
      </c>
      <c r="D897" s="18"/>
      <c r="E897" s="18" t="s">
        <v>34</v>
      </c>
      <c r="F897" s="18" t="s">
        <v>33</v>
      </c>
      <c r="G897" s="18" t="s">
        <v>7</v>
      </c>
      <c r="H897" s="18" t="s">
        <v>32</v>
      </c>
      <c r="I897" s="19" t="s">
        <v>22</v>
      </c>
      <c r="J897" s="17" t="s">
        <v>31</v>
      </c>
      <c r="K897" s="18"/>
      <c r="L897" s="18" t="s">
        <v>30</v>
      </c>
      <c r="M897" s="18"/>
      <c r="N897" s="18" t="s">
        <v>29</v>
      </c>
      <c r="O897" s="18"/>
      <c r="P897" s="18" t="s">
        <v>28</v>
      </c>
      <c r="Q897" s="20" t="s">
        <v>27</v>
      </c>
      <c r="R897" s="21" t="s">
        <v>26</v>
      </c>
      <c r="S897" s="22" t="s">
        <v>7</v>
      </c>
      <c r="T897" s="23" t="s">
        <v>25</v>
      </c>
      <c r="U897" s="24" t="s">
        <v>24</v>
      </c>
      <c r="V897" s="25" t="s">
        <v>7</v>
      </c>
      <c r="W897" s="26" t="s">
        <v>23</v>
      </c>
      <c r="X897" s="4" t="s">
        <v>22</v>
      </c>
      <c r="Y897" s="4" t="s">
        <v>21</v>
      </c>
      <c r="Z897" s="5" t="s">
        <v>20</v>
      </c>
    </row>
    <row r="898" spans="1:31" ht="13.5" customHeight="1">
      <c r="B898" s="54" t="s">
        <v>3</v>
      </c>
      <c r="C898" s="28" t="s">
        <v>17</v>
      </c>
      <c r="D898" s="20" t="s">
        <v>13</v>
      </c>
      <c r="E898" s="20" t="s">
        <v>19</v>
      </c>
      <c r="F898" s="28" t="s">
        <v>19</v>
      </c>
      <c r="G898" s="20" t="s">
        <v>3</v>
      </c>
      <c r="H898" s="20" t="s">
        <v>19</v>
      </c>
      <c r="I898" s="29" t="s">
        <v>12</v>
      </c>
      <c r="J898" s="55" t="s">
        <v>18</v>
      </c>
      <c r="K898" s="20" t="s">
        <v>17</v>
      </c>
      <c r="L898" s="56" t="s">
        <v>16</v>
      </c>
      <c r="M898" s="20" t="s">
        <v>15</v>
      </c>
      <c r="N898" s="20" t="s">
        <v>14</v>
      </c>
      <c r="O898" s="20" t="s">
        <v>13</v>
      </c>
      <c r="P898" s="20" t="s">
        <v>12</v>
      </c>
      <c r="Q898" s="20" t="s">
        <v>11</v>
      </c>
      <c r="R898" s="21" t="s">
        <v>11</v>
      </c>
      <c r="S898" s="22" t="s">
        <v>10</v>
      </c>
      <c r="T898" s="23" t="s">
        <v>9</v>
      </c>
      <c r="U898" s="24" t="s">
        <v>9</v>
      </c>
      <c r="V898" s="33" t="s">
        <v>8</v>
      </c>
      <c r="W898" s="34" t="s">
        <v>7</v>
      </c>
      <c r="X898" s="4" t="s">
        <v>6</v>
      </c>
      <c r="Y898" s="6" t="s">
        <v>5</v>
      </c>
      <c r="Z898" s="7" t="s">
        <v>5</v>
      </c>
    </row>
    <row r="899" spans="1:31" ht="13.5" customHeight="1" thickBot="1">
      <c r="B899" s="57"/>
      <c r="C899" s="3">
        <f>C879</f>
        <v>1.05</v>
      </c>
      <c r="D899" s="37"/>
      <c r="E899" s="38"/>
      <c r="F899" s="38"/>
      <c r="G899" s="37"/>
      <c r="H899" s="37"/>
      <c r="I899" s="39"/>
      <c r="J899" s="58" t="s">
        <v>4</v>
      </c>
      <c r="K899" s="44"/>
      <c r="L899" s="59"/>
      <c r="M899" s="37"/>
      <c r="N899" s="37"/>
      <c r="O899" s="37"/>
      <c r="P899" s="37"/>
      <c r="Q899" s="42"/>
      <c r="R899" s="42"/>
      <c r="S899" s="52" t="s">
        <v>3</v>
      </c>
      <c r="T899" s="43"/>
      <c r="U899" s="44"/>
      <c r="V899" s="39" t="s">
        <v>3</v>
      </c>
      <c r="W899" s="45" t="s">
        <v>3</v>
      </c>
      <c r="X899" s="8" t="s">
        <v>2</v>
      </c>
      <c r="Y899" s="9" t="s">
        <v>1</v>
      </c>
      <c r="Z899" s="13" t="s">
        <v>0</v>
      </c>
    </row>
    <row r="900" spans="1:31" ht="13.5" customHeight="1">
      <c r="A900" s="1">
        <v>1</v>
      </c>
      <c r="B900" s="3">
        <f t="shared" ref="B900:B909" si="1311">B880</f>
        <v>1000</v>
      </c>
      <c r="C900" s="1">
        <f t="shared" ref="C900:C909" si="1312">IF(B900&lt;1,0.000001,C880*(1+AB880))</f>
        <v>4.5091888112386895E-2</v>
      </c>
      <c r="D900" s="1">
        <f t="shared" si="1281"/>
        <v>0.90094077546690488</v>
      </c>
      <c r="E900" s="1">
        <f t="shared" ref="E900:E909" si="1313">R900</f>
        <v>73.233750141930372</v>
      </c>
      <c r="F900" s="1">
        <f t="shared" ref="F900:F909" si="1314">F880</f>
        <v>20</v>
      </c>
      <c r="G900" s="1">
        <f t="shared" ref="G900:G909" si="1315">(E900-F900)*C900*(1-D900)*4200</f>
        <v>998.68769025743802</v>
      </c>
      <c r="H900" s="1">
        <f t="shared" ref="H900:H909" si="1316">(E900-F900)*D900+F900</f>
        <v>67.960456133882204</v>
      </c>
      <c r="I900" s="1">
        <f t="shared" ref="I900:I909" si="1317">B900*0.001*6/C900</f>
        <v>133.06162707238201</v>
      </c>
      <c r="J900" s="3">
        <f t="shared" ref="J900:J909" si="1318">J880</f>
        <v>10</v>
      </c>
      <c r="K900" s="47">
        <f t="shared" ref="K900:K909" si="1319">K899+C900</f>
        <v>4.5091888112386895E-2</v>
      </c>
      <c r="L900" s="3">
        <f t="shared" ref="L900:L909" si="1320">L880</f>
        <v>3</v>
      </c>
      <c r="M900" s="47">
        <f t="shared" ref="M900:M909" si="1321">K900/(J900*J900*3.14/4000)</f>
        <v>0.57441895684569289</v>
      </c>
      <c r="N900" s="47">
        <f t="shared" ref="N900:N909" si="1322">L900*26400/J900^1.27*M900^1.83*$N$69</f>
        <v>1927.6306922828803</v>
      </c>
      <c r="O900" s="1">
        <f t="shared" ref="O900:O909" si="1323">EXP(-(J900+2)*3.14/1000*$O$66/(M900*J900*J900*3.14/4000*4200)*L900)</f>
        <v>0.99404901327206741</v>
      </c>
      <c r="P900" s="1">
        <f t="shared" ref="P900:P909" si="1324">L900/M900</f>
        <v>5.2226688625909938</v>
      </c>
      <c r="Q900" s="1">
        <f t="shared" ref="Q900:Q909" si="1325">R901</f>
        <v>73.552440001628469</v>
      </c>
      <c r="R900" s="1">
        <f t="shared" ref="R900:R909" si="1326">(Q900-F900)*O900+F900</f>
        <v>73.233750141930372</v>
      </c>
      <c r="S900" s="47">
        <f t="shared" ref="S900:S909" si="1327">K900*(1-O900)*4200*(Q900-F900)</f>
        <v>60.355375483447354</v>
      </c>
      <c r="T900" s="1">
        <f t="shared" ref="T900:T909" si="1328">(U899*K899+H900*C900)/K900</f>
        <v>67.960456133882204</v>
      </c>
      <c r="U900" s="47">
        <f t="shared" ref="U900:U909" si="1329">(T900-F900)*O900+F900</f>
        <v>67.675044095963869</v>
      </c>
      <c r="V900" s="47">
        <f t="shared" ref="V900:V909" si="1330">K900*(1-O900)*4200*(T900-F900)</f>
        <v>54.053024254914298</v>
      </c>
      <c r="W900" s="2">
        <f t="shared" si="1282"/>
        <v>998.69769025743801</v>
      </c>
      <c r="X900" s="1">
        <f t="shared" ref="X900:X909" si="1331">C900*3600</f>
        <v>162.33079720459281</v>
      </c>
      <c r="Y900" s="1">
        <f t="shared" ref="Y900:Y909" si="1332">Y901-2*N900/1000</f>
        <v>5.9999999999999964</v>
      </c>
      <c r="Z900" s="2">
        <f t="shared" ref="Z900:Z909" si="1333">-1.1-1.8*LOG10(Y900/X900/X900)</f>
        <v>5.456771066610294</v>
      </c>
      <c r="AA900" s="3">
        <f t="shared" ref="AA900:AA909" si="1334">AA880</f>
        <v>1000</v>
      </c>
      <c r="AB900" s="1">
        <f t="shared" ref="AB900" si="1335">((AA900/W900)-1)*AB$23+AC900+AD900</f>
        <v>1.3040079648389824E-3</v>
      </c>
      <c r="AC900" s="1">
        <f>((N912/N911)-1)*AB$24</f>
        <v>0</v>
      </c>
      <c r="AD900" s="64">
        <f t="shared" ref="AD900" si="1336">(AC$21-(X900/1000/SQRT(Y900/104))*1000/B900)*AB$21</f>
        <v>0</v>
      </c>
      <c r="AE900" s="1">
        <f t="shared" ref="AE900:AE910" si="1337">AE901</f>
        <v>18.918043001261093</v>
      </c>
    </row>
    <row r="901" spans="1:31" ht="13.5" customHeight="1">
      <c r="A901" s="1">
        <v>2</v>
      </c>
      <c r="B901" s="3">
        <f t="shared" si="1311"/>
        <v>1000</v>
      </c>
      <c r="C901" s="1">
        <f t="shared" si="1312"/>
        <v>3.9306566803816827E-2</v>
      </c>
      <c r="D901" s="1">
        <f t="shared" si="1281"/>
        <v>0.88697704314086945</v>
      </c>
      <c r="E901" s="1">
        <f t="shared" si="1313"/>
        <v>73.552440001628469</v>
      </c>
      <c r="F901" s="1">
        <f t="shared" si="1314"/>
        <v>20</v>
      </c>
      <c r="G901" s="1">
        <f t="shared" si="1315"/>
        <v>999.21818916243785</v>
      </c>
      <c r="H901" s="1">
        <f t="shared" si="1316"/>
        <v>67.499784885623228</v>
      </c>
      <c r="I901" s="1">
        <f t="shared" si="1317"/>
        <v>152.64624941543804</v>
      </c>
      <c r="J901" s="3">
        <f t="shared" si="1318"/>
        <v>14.142135623730951</v>
      </c>
      <c r="K901" s="47">
        <f t="shared" si="1319"/>
        <v>8.4398454916203722E-2</v>
      </c>
      <c r="L901" s="3">
        <f t="shared" si="1320"/>
        <v>3</v>
      </c>
      <c r="M901" s="47">
        <f t="shared" si="1321"/>
        <v>0.53756977653632931</v>
      </c>
      <c r="N901" s="47">
        <f t="shared" si="1322"/>
        <v>1099.4536141475483</v>
      </c>
      <c r="O901" s="1">
        <f t="shared" si="1323"/>
        <v>0.99571947594355714</v>
      </c>
      <c r="P901" s="1">
        <f t="shared" si="1324"/>
        <v>5.5806708839354888</v>
      </c>
      <c r="Q901" s="1">
        <f t="shared" si="1325"/>
        <v>73.782657962857911</v>
      </c>
      <c r="R901" s="1">
        <f t="shared" si="1326"/>
        <v>73.552440001628469</v>
      </c>
      <c r="S901" s="47">
        <f t="shared" si="1327"/>
        <v>81.606168931241569</v>
      </c>
      <c r="T901" s="1">
        <f t="shared" si="1328"/>
        <v>67.593421300071711</v>
      </c>
      <c r="U901" s="47">
        <f t="shared" si="1329"/>
        <v>67.389696515268326</v>
      </c>
      <c r="V901" s="47">
        <f t="shared" si="1330"/>
        <v>72.215039675272664</v>
      </c>
      <c r="W901" s="2">
        <f t="shared" si="1282"/>
        <v>999.22818916243784</v>
      </c>
      <c r="X901" s="1">
        <f t="shared" si="1331"/>
        <v>141.50364049374056</v>
      </c>
      <c r="Y901" s="1">
        <f t="shared" si="1332"/>
        <v>9.8552613845657575</v>
      </c>
      <c r="Z901" s="2">
        <f t="shared" si="1333"/>
        <v>4.8541607423890323</v>
      </c>
      <c r="AA901" s="3">
        <f t="shared" si="1334"/>
        <v>1000</v>
      </c>
      <c r="AB901" s="1">
        <f t="shared" si="1251"/>
        <v>7.7240698964775589E-4</v>
      </c>
      <c r="AC901" s="1">
        <f t="shared" ref="AC901:AC909" si="1338">AC900</f>
        <v>0</v>
      </c>
      <c r="AD901" s="64">
        <f t="shared" si="1252"/>
        <v>0</v>
      </c>
      <c r="AE901" s="1">
        <f t="shared" si="1337"/>
        <v>18.918043001261093</v>
      </c>
    </row>
    <row r="902" spans="1:31" ht="13.5" customHeight="1">
      <c r="A902" s="1">
        <v>3</v>
      </c>
      <c r="B902" s="3">
        <f t="shared" si="1311"/>
        <v>1000</v>
      </c>
      <c r="C902" s="1">
        <f t="shared" si="1312"/>
        <v>3.5925640439861094E-2</v>
      </c>
      <c r="D902" s="1">
        <f t="shared" si="1281"/>
        <v>0.87683706988396737</v>
      </c>
      <c r="E902" s="1">
        <f t="shared" si="1313"/>
        <v>73.782657962857911</v>
      </c>
      <c r="F902" s="1">
        <f t="shared" si="1314"/>
        <v>20</v>
      </c>
      <c r="G902" s="1">
        <f t="shared" si="1315"/>
        <v>999.48454557294644</v>
      </c>
      <c r="H902" s="1">
        <f t="shared" si="1316"/>
        <v>67.158628218723948</v>
      </c>
      <c r="I902" s="1">
        <f t="shared" si="1317"/>
        <v>167.01163643954789</v>
      </c>
      <c r="J902" s="3">
        <f t="shared" si="1318"/>
        <v>17.320508075688775</v>
      </c>
      <c r="K902" s="47">
        <f t="shared" si="1319"/>
        <v>0.12032409535606481</v>
      </c>
      <c r="L902" s="3">
        <f t="shared" si="1320"/>
        <v>3</v>
      </c>
      <c r="M902" s="47">
        <f t="shared" si="1321"/>
        <v>0.51093034121471237</v>
      </c>
      <c r="N902" s="47">
        <f t="shared" si="1322"/>
        <v>774.39955960623297</v>
      </c>
      <c r="O902" s="1">
        <f t="shared" si="1323"/>
        <v>0.99640510874402677</v>
      </c>
      <c r="P902" s="1">
        <f t="shared" si="1324"/>
        <v>5.8716419010615892</v>
      </c>
      <c r="Q902" s="1">
        <f t="shared" si="1325"/>
        <v>73.976698323688041</v>
      </c>
      <c r="R902" s="1">
        <f t="shared" si="1326"/>
        <v>73.782657962857911</v>
      </c>
      <c r="S902" s="47">
        <f t="shared" si="1327"/>
        <v>98.060469693689669</v>
      </c>
      <c r="T902" s="1">
        <f t="shared" si="1328"/>
        <v>67.32070554123159</v>
      </c>
      <c r="U902" s="47">
        <f t="shared" si="1329"/>
        <v>67.150592750654937</v>
      </c>
      <c r="V902" s="47">
        <f t="shared" si="1330"/>
        <v>85.968404065454479</v>
      </c>
      <c r="W902" s="2">
        <f t="shared" si="1282"/>
        <v>999.49454557294644</v>
      </c>
      <c r="X902" s="1">
        <f t="shared" si="1331"/>
        <v>129.33230558349993</v>
      </c>
      <c r="Y902" s="1">
        <f t="shared" si="1332"/>
        <v>12.054168612860854</v>
      </c>
      <c r="Z902" s="2">
        <f t="shared" si="1333"/>
        <v>4.5560981993338494</v>
      </c>
      <c r="AA902" s="3">
        <f t="shared" si="1334"/>
        <v>1000</v>
      </c>
      <c r="AB902" s="1">
        <f t="shared" si="1251"/>
        <v>5.0571004043220569E-4</v>
      </c>
      <c r="AC902" s="1">
        <f t="shared" si="1338"/>
        <v>0</v>
      </c>
      <c r="AD902" s="64">
        <f t="shared" si="1252"/>
        <v>0</v>
      </c>
      <c r="AE902" s="1">
        <f t="shared" si="1337"/>
        <v>18.918043001261093</v>
      </c>
    </row>
    <row r="903" spans="1:31" ht="13.5" customHeight="1">
      <c r="A903" s="1">
        <v>4</v>
      </c>
      <c r="B903" s="3">
        <f t="shared" si="1311"/>
        <v>1000</v>
      </c>
      <c r="C903" s="1">
        <f t="shared" si="1312"/>
        <v>3.3479926331543161E-2</v>
      </c>
      <c r="D903" s="1">
        <f t="shared" si="1281"/>
        <v>0.86829301333724573</v>
      </c>
      <c r="E903" s="1">
        <f t="shared" si="1313"/>
        <v>73.976698323688041</v>
      </c>
      <c r="F903" s="1">
        <f t="shared" si="1314"/>
        <v>20</v>
      </c>
      <c r="G903" s="1">
        <f t="shared" si="1315"/>
        <v>999.65217116320366</v>
      </c>
      <c r="H903" s="1">
        <f t="shared" si="1316"/>
        <v>66.867590037470549</v>
      </c>
      <c r="I903" s="1">
        <f t="shared" si="1317"/>
        <v>179.2118638668297</v>
      </c>
      <c r="J903" s="3">
        <f t="shared" si="1318"/>
        <v>20</v>
      </c>
      <c r="K903" s="47">
        <f t="shared" si="1319"/>
        <v>0.15380402168760798</v>
      </c>
      <c r="L903" s="3">
        <f t="shared" si="1320"/>
        <v>3</v>
      </c>
      <c r="M903" s="47">
        <f t="shared" si="1321"/>
        <v>0.48982172511977062</v>
      </c>
      <c r="N903" s="47">
        <f t="shared" si="1322"/>
        <v>597.16826442360093</v>
      </c>
      <c r="O903" s="1">
        <f t="shared" si="1323"/>
        <v>0.99679697636120412</v>
      </c>
      <c r="P903" s="1">
        <f t="shared" si="1324"/>
        <v>6.1246772981873017</v>
      </c>
      <c r="Q903" s="1">
        <f t="shared" si="1325"/>
        <v>74.150142510192353</v>
      </c>
      <c r="R903" s="1">
        <f t="shared" si="1326"/>
        <v>73.976698323688041</v>
      </c>
      <c r="S903" s="47">
        <f t="shared" si="1327"/>
        <v>112.04093637533437</v>
      </c>
      <c r="T903" s="1">
        <f t="shared" si="1328"/>
        <v>67.08898896497314</v>
      </c>
      <c r="U903" s="47">
        <f t="shared" si="1329"/>
        <v>66.93816182019134</v>
      </c>
      <c r="V903" s="47">
        <f t="shared" si="1330"/>
        <v>97.430850077824417</v>
      </c>
      <c r="W903" s="2">
        <f t="shared" si="1282"/>
        <v>999.66217116320365</v>
      </c>
      <c r="X903" s="1">
        <f t="shared" si="1331"/>
        <v>120.52773479355538</v>
      </c>
      <c r="Y903" s="1">
        <f t="shared" si="1332"/>
        <v>13.602967732073321</v>
      </c>
      <c r="Z903" s="2">
        <f t="shared" si="1333"/>
        <v>4.3513725779732511</v>
      </c>
      <c r="AA903" s="3">
        <f t="shared" si="1334"/>
        <v>1000</v>
      </c>
      <c r="AB903" s="1">
        <f t="shared" si="1251"/>
        <v>3.3794300368827912E-4</v>
      </c>
      <c r="AC903" s="1">
        <f t="shared" si="1338"/>
        <v>0</v>
      </c>
      <c r="AD903" s="64">
        <f t="shared" si="1252"/>
        <v>0</v>
      </c>
      <c r="AE903" s="1">
        <f t="shared" si="1337"/>
        <v>18.918043001261093</v>
      </c>
    </row>
    <row r="904" spans="1:31" ht="13.5" customHeight="1">
      <c r="A904" s="1">
        <v>5</v>
      </c>
      <c r="B904" s="3">
        <f t="shared" si="1311"/>
        <v>1000</v>
      </c>
      <c r="C904" s="1">
        <f t="shared" si="1312"/>
        <v>3.1551412321130151E-2</v>
      </c>
      <c r="D904" s="1">
        <f t="shared" si="1281"/>
        <v>0.8606743622948797</v>
      </c>
      <c r="E904" s="1">
        <f t="shared" si="1313"/>
        <v>74.150142510192353</v>
      </c>
      <c r="F904" s="1">
        <f t="shared" si="1314"/>
        <v>20</v>
      </c>
      <c r="G904" s="1">
        <f t="shared" si="1315"/>
        <v>999.76686278827719</v>
      </c>
      <c r="H904" s="1">
        <f t="shared" si="1316"/>
        <v>66.605639373136654</v>
      </c>
      <c r="I904" s="1">
        <f t="shared" si="1317"/>
        <v>190.16581378139347</v>
      </c>
      <c r="J904" s="3">
        <f t="shared" si="1318"/>
        <v>22.360679774997898</v>
      </c>
      <c r="K904" s="47">
        <f t="shared" si="1319"/>
        <v>0.18535543400873813</v>
      </c>
      <c r="L904" s="3">
        <f t="shared" si="1320"/>
        <v>3</v>
      </c>
      <c r="M904" s="47">
        <f t="shared" si="1321"/>
        <v>0.47224314397130729</v>
      </c>
      <c r="N904" s="47">
        <f t="shared" si="1322"/>
        <v>484.74395563137989</v>
      </c>
      <c r="O904" s="1">
        <f t="shared" si="1323"/>
        <v>0.997056623884083</v>
      </c>
      <c r="P904" s="1">
        <f t="shared" si="1324"/>
        <v>6.3526597226412562</v>
      </c>
      <c r="Q904" s="1">
        <f t="shared" si="1325"/>
        <v>74.309997258979948</v>
      </c>
      <c r="R904" s="1">
        <f t="shared" si="1326"/>
        <v>74.150142510192353</v>
      </c>
      <c r="S904" s="47">
        <f t="shared" si="1327"/>
        <v>124.44577462750958</v>
      </c>
      <c r="T904" s="1">
        <f t="shared" si="1328"/>
        <v>66.881559471902165</v>
      </c>
      <c r="U904" s="47">
        <f t="shared" si="1329"/>
        <v>66.743569409475626</v>
      </c>
      <c r="V904" s="47">
        <f t="shared" si="1330"/>
        <v>107.42427322184885</v>
      </c>
      <c r="W904" s="2">
        <f t="shared" si="1282"/>
        <v>999.77686278827719</v>
      </c>
      <c r="X904" s="1">
        <f t="shared" si="1331"/>
        <v>113.58508435606855</v>
      </c>
      <c r="Y904" s="1">
        <f t="shared" si="1332"/>
        <v>14.797304260920523</v>
      </c>
      <c r="Z904" s="2">
        <f t="shared" si="1333"/>
        <v>4.1928280107686309</v>
      </c>
      <c r="AA904" s="3">
        <f t="shared" si="1334"/>
        <v>1000</v>
      </c>
      <c r="AB904" s="1">
        <f t="shared" si="1251"/>
        <v>2.2318701305068522E-4</v>
      </c>
      <c r="AC904" s="1">
        <f t="shared" si="1338"/>
        <v>0</v>
      </c>
      <c r="AD904" s="64">
        <f t="shared" si="1252"/>
        <v>0</v>
      </c>
      <c r="AE904" s="1">
        <f t="shared" si="1337"/>
        <v>18.918043001261093</v>
      </c>
    </row>
    <row r="905" spans="1:31" ht="13.5" customHeight="1">
      <c r="A905" s="1">
        <v>6</v>
      </c>
      <c r="B905" s="3">
        <f t="shared" si="1311"/>
        <v>1000</v>
      </c>
      <c r="C905" s="1">
        <f t="shared" si="1312"/>
        <v>2.9956772831757704E-2</v>
      </c>
      <c r="D905" s="1">
        <f t="shared" si="1281"/>
        <v>0.85367783474868997</v>
      </c>
      <c r="E905" s="1">
        <f t="shared" si="1313"/>
        <v>74.309997258979948</v>
      </c>
      <c r="F905" s="1">
        <f t="shared" si="1314"/>
        <v>20</v>
      </c>
      <c r="G905" s="1">
        <f t="shared" si="1315"/>
        <v>999.84853935198805</v>
      </c>
      <c r="H905" s="1">
        <f t="shared" si="1316"/>
        <v>66.363240865253289</v>
      </c>
      <c r="I905" s="1">
        <f t="shared" si="1317"/>
        <v>200.28859696259718</v>
      </c>
      <c r="J905" s="3">
        <f t="shared" si="1318"/>
        <v>24.494897427831781</v>
      </c>
      <c r="K905" s="47">
        <f t="shared" si="1319"/>
        <v>0.21531220684049585</v>
      </c>
      <c r="L905" s="3">
        <f t="shared" si="1320"/>
        <v>3</v>
      </c>
      <c r="M905" s="47">
        <f t="shared" si="1321"/>
        <v>0.45713844339808035</v>
      </c>
      <c r="N905" s="47">
        <f t="shared" si="1322"/>
        <v>406.81459388465623</v>
      </c>
      <c r="O905" s="1">
        <f t="shared" si="1323"/>
        <v>0.9972438932593517</v>
      </c>
      <c r="P905" s="1">
        <f t="shared" si="1324"/>
        <v>6.5625633619869781</v>
      </c>
      <c r="Q905" s="1">
        <f t="shared" si="1325"/>
        <v>74.460095094165325</v>
      </c>
      <c r="R905" s="1">
        <f t="shared" si="1326"/>
        <v>74.309997258979948</v>
      </c>
      <c r="S905" s="47">
        <f t="shared" si="1327"/>
        <v>135.73516377012666</v>
      </c>
      <c r="T905" s="1">
        <f t="shared" si="1328"/>
        <v>66.690653618179397</v>
      </c>
      <c r="U905" s="47">
        <f t="shared" si="1329"/>
        <v>66.561969193017063</v>
      </c>
      <c r="V905" s="47">
        <f t="shared" si="1330"/>
        <v>116.37077578435633</v>
      </c>
      <c r="W905" s="2">
        <f t="shared" si="1282"/>
        <v>999.85853935198804</v>
      </c>
      <c r="X905" s="1">
        <f t="shared" si="1331"/>
        <v>107.84438219432774</v>
      </c>
      <c r="Y905" s="1">
        <f t="shared" si="1332"/>
        <v>15.766792172183283</v>
      </c>
      <c r="Z905" s="2">
        <f t="shared" si="1333"/>
        <v>4.0621330791604056</v>
      </c>
      <c r="AA905" s="3">
        <f t="shared" si="1334"/>
        <v>1000</v>
      </c>
      <c r="AB905" s="1">
        <f t="shared" si="1251"/>
        <v>1.414806619581821E-4</v>
      </c>
      <c r="AC905" s="1">
        <f t="shared" si="1338"/>
        <v>0</v>
      </c>
      <c r="AD905" s="64">
        <f t="shared" si="1252"/>
        <v>0</v>
      </c>
      <c r="AE905" s="1">
        <f t="shared" si="1337"/>
        <v>18.918043001261093</v>
      </c>
    </row>
    <row r="906" spans="1:31" ht="13.5" customHeight="1">
      <c r="A906" s="1">
        <v>7</v>
      </c>
      <c r="B906" s="3">
        <f t="shared" si="1311"/>
        <v>1000</v>
      </c>
      <c r="C906" s="1">
        <f t="shared" si="1312"/>
        <v>2.8597573112965551E-2</v>
      </c>
      <c r="D906" s="1">
        <f t="shared" si="1281"/>
        <v>0.84713674085806179</v>
      </c>
      <c r="E906" s="1">
        <f t="shared" si="1313"/>
        <v>74.460095094165325</v>
      </c>
      <c r="F906" s="1">
        <f t="shared" si="1314"/>
        <v>20</v>
      </c>
      <c r="G906" s="1">
        <f t="shared" si="1315"/>
        <v>999.90785365704323</v>
      </c>
      <c r="H906" s="1">
        <f t="shared" si="1316"/>
        <v>66.135147464891332</v>
      </c>
      <c r="I906" s="1">
        <f t="shared" si="1317"/>
        <v>209.8080132988531</v>
      </c>
      <c r="J906" s="3">
        <f t="shared" si="1318"/>
        <v>26.457513110645905</v>
      </c>
      <c r="K906" s="47">
        <f t="shared" si="1319"/>
        <v>0.24390977995346139</v>
      </c>
      <c r="L906" s="3">
        <f t="shared" si="1320"/>
        <v>3</v>
      </c>
      <c r="M906" s="47">
        <f t="shared" si="1321"/>
        <v>0.44387585068873775</v>
      </c>
      <c r="N906" s="47">
        <f t="shared" si="1322"/>
        <v>349.5316575240434</v>
      </c>
      <c r="O906" s="1">
        <f t="shared" si="1323"/>
        <v>0.99738662797912947</v>
      </c>
      <c r="P906" s="1">
        <f t="shared" si="1324"/>
        <v>6.7586465795448545</v>
      </c>
      <c r="Q906" s="1">
        <f t="shared" si="1325"/>
        <v>74.602792504357609</v>
      </c>
      <c r="R906" s="1">
        <f t="shared" si="1326"/>
        <v>74.460095094165325</v>
      </c>
      <c r="S906" s="47">
        <f t="shared" si="1327"/>
        <v>146.18223446370436</v>
      </c>
      <c r="T906" s="1">
        <f t="shared" si="1328"/>
        <v>66.511925830349909</v>
      </c>
      <c r="U906" s="47">
        <f t="shared" si="1329"/>
        <v>66.390372864748059</v>
      </c>
      <c r="V906" s="47">
        <f t="shared" si="1330"/>
        <v>124.52141978907072</v>
      </c>
      <c r="W906" s="2">
        <f t="shared" si="1282"/>
        <v>999.91785365704322</v>
      </c>
      <c r="X906" s="1">
        <f t="shared" si="1331"/>
        <v>102.95126320667599</v>
      </c>
      <c r="Y906" s="1">
        <f t="shared" si="1332"/>
        <v>16.580421359952595</v>
      </c>
      <c r="Z906" s="2">
        <f t="shared" si="1333"/>
        <v>3.9502020335026171</v>
      </c>
      <c r="AA906" s="3">
        <f t="shared" si="1334"/>
        <v>1000</v>
      </c>
      <c r="AB906" s="1">
        <f t="shared" si="1251"/>
        <v>8.2153091532699563E-5</v>
      </c>
      <c r="AC906" s="1">
        <f t="shared" si="1338"/>
        <v>0</v>
      </c>
      <c r="AD906" s="64">
        <f t="shared" si="1252"/>
        <v>0</v>
      </c>
      <c r="AE906" s="1">
        <f t="shared" si="1337"/>
        <v>18.918043001261093</v>
      </c>
    </row>
    <row r="907" spans="1:31" ht="13.5" customHeight="1">
      <c r="A907" s="1">
        <v>8</v>
      </c>
      <c r="B907" s="3">
        <f t="shared" si="1311"/>
        <v>1000</v>
      </c>
      <c r="C907" s="1">
        <f t="shared" si="1312"/>
        <v>2.7414217871444622E-2</v>
      </c>
      <c r="D907" s="1">
        <f t="shared" si="1281"/>
        <v>0.84094811720217322</v>
      </c>
      <c r="E907" s="1">
        <f t="shared" si="1313"/>
        <v>74.602792504357609</v>
      </c>
      <c r="F907" s="1">
        <f t="shared" si="1314"/>
        <v>20</v>
      </c>
      <c r="G907" s="1">
        <f t="shared" si="1315"/>
        <v>999.95122985354271</v>
      </c>
      <c r="H907" s="1">
        <f t="shared" si="1316"/>
        <v>65.918115550520469</v>
      </c>
      <c r="I907" s="1">
        <f t="shared" si="1317"/>
        <v>218.86453329203891</v>
      </c>
      <c r="J907" s="3">
        <f t="shared" si="1318"/>
        <v>28.284271247461902</v>
      </c>
      <c r="K907" s="47">
        <f t="shared" si="1319"/>
        <v>0.27132399782490602</v>
      </c>
      <c r="L907" s="3">
        <f t="shared" si="1320"/>
        <v>3</v>
      </c>
      <c r="M907" s="47">
        <f t="shared" si="1321"/>
        <v>0.43204458252373562</v>
      </c>
      <c r="N907" s="47">
        <f t="shared" si="1322"/>
        <v>305.62601912283139</v>
      </c>
      <c r="O907" s="1">
        <f t="shared" si="1323"/>
        <v>0.99749972925777719</v>
      </c>
      <c r="P907" s="1">
        <f t="shared" si="1324"/>
        <v>6.9437278497414932</v>
      </c>
      <c r="Q907" s="1">
        <f t="shared" si="1325"/>
        <v>74.739656465858516</v>
      </c>
      <c r="R907" s="1">
        <f t="shared" si="1326"/>
        <v>74.602792504357609</v>
      </c>
      <c r="S907" s="47">
        <f t="shared" si="1327"/>
        <v>155.9648042088441</v>
      </c>
      <c r="T907" s="1">
        <f t="shared" si="1328"/>
        <v>66.342656610353288</v>
      </c>
      <c r="U907" s="47">
        <f t="shared" si="1329"/>
        <v>66.226787421913542</v>
      </c>
      <c r="V907" s="47">
        <f t="shared" si="1330"/>
        <v>132.03998401523558</v>
      </c>
      <c r="W907" s="2">
        <f t="shared" si="1282"/>
        <v>999.9612298535427</v>
      </c>
      <c r="X907" s="1">
        <f t="shared" si="1331"/>
        <v>98.691184337200639</v>
      </c>
      <c r="Y907" s="1">
        <f t="shared" si="1332"/>
        <v>17.279484675000681</v>
      </c>
      <c r="Z907" s="2">
        <f t="shared" si="1333"/>
        <v>3.8518466831011238</v>
      </c>
      <c r="AA907" s="3">
        <f t="shared" si="1334"/>
        <v>1000</v>
      </c>
      <c r="AB907" s="1">
        <f t="shared" si="1251"/>
        <v>3.8771649639723904E-5</v>
      </c>
      <c r="AC907" s="1">
        <f t="shared" si="1338"/>
        <v>0</v>
      </c>
      <c r="AD907" s="64">
        <f t="shared" si="1252"/>
        <v>0</v>
      </c>
      <c r="AE907" s="1">
        <f t="shared" si="1337"/>
        <v>18.918043001261093</v>
      </c>
    </row>
    <row r="908" spans="1:31" ht="13.5" customHeight="1">
      <c r="A908" s="1">
        <v>9</v>
      </c>
      <c r="B908" s="3">
        <f t="shared" si="1311"/>
        <v>1000</v>
      </c>
      <c r="C908" s="1">
        <f t="shared" si="1312"/>
        <v>2.6367619071845858E-2</v>
      </c>
      <c r="D908" s="1">
        <f t="shared" si="1281"/>
        <v>0.83504317796893124</v>
      </c>
      <c r="E908" s="1">
        <f t="shared" si="1313"/>
        <v>74.739656465858516</v>
      </c>
      <c r="F908" s="1">
        <f t="shared" si="1314"/>
        <v>20</v>
      </c>
      <c r="G908" s="1">
        <f t="shared" si="1315"/>
        <v>999.98285733228681</v>
      </c>
      <c r="H908" s="1">
        <f t="shared" si="1316"/>
        <v>65.709976696178046</v>
      </c>
      <c r="I908" s="1">
        <f t="shared" si="1317"/>
        <v>227.55183104137478</v>
      </c>
      <c r="J908" s="3">
        <f t="shared" si="1318"/>
        <v>30</v>
      </c>
      <c r="K908" s="47">
        <f t="shared" si="1319"/>
        <v>0.29769161689675189</v>
      </c>
      <c r="L908" s="3">
        <f t="shared" si="1320"/>
        <v>3</v>
      </c>
      <c r="M908" s="47">
        <f t="shared" si="1321"/>
        <v>0.4213610996415455</v>
      </c>
      <c r="N908" s="47">
        <f t="shared" si="1322"/>
        <v>270.89988708142749</v>
      </c>
      <c r="O908" s="1">
        <f t="shared" si="1323"/>
        <v>0.99759197182692882</v>
      </c>
      <c r="P908" s="1">
        <f t="shared" si="1324"/>
        <v>7.1197839633324449</v>
      </c>
      <c r="Q908" s="1">
        <f t="shared" si="1325"/>
        <v>74.871789280352431</v>
      </c>
      <c r="R908" s="1">
        <f t="shared" si="1326"/>
        <v>74.739656465858516</v>
      </c>
      <c r="S908" s="47">
        <f t="shared" si="1327"/>
        <v>165.20629100560913</v>
      </c>
      <c r="T908" s="1">
        <f t="shared" si="1328"/>
        <v>66.181011633900113</v>
      </c>
      <c r="U908" s="47">
        <f t="shared" si="1329"/>
        <v>66.06980645682475</v>
      </c>
      <c r="V908" s="47">
        <f t="shared" si="1330"/>
        <v>139.04036567758376</v>
      </c>
      <c r="W908" s="2">
        <f t="shared" si="1282"/>
        <v>999.9928573322868</v>
      </c>
      <c r="X908" s="1">
        <f t="shared" si="1331"/>
        <v>94.923428658645093</v>
      </c>
      <c r="Y908" s="1">
        <f t="shared" si="1332"/>
        <v>17.890736713246344</v>
      </c>
      <c r="Z908" s="2">
        <f t="shared" si="1333"/>
        <v>3.7638134958292517</v>
      </c>
      <c r="AA908" s="3">
        <f t="shared" si="1334"/>
        <v>1000</v>
      </c>
      <c r="AB908" s="1">
        <f t="shared" si="1251"/>
        <v>7.1427187313677365E-6</v>
      </c>
      <c r="AC908" s="1">
        <f t="shared" si="1338"/>
        <v>0</v>
      </c>
      <c r="AD908" s="64">
        <f t="shared" si="1252"/>
        <v>0</v>
      </c>
      <c r="AE908" s="1">
        <f t="shared" si="1337"/>
        <v>18.918043001261093</v>
      </c>
    </row>
    <row r="909" spans="1:31" ht="13.5" customHeight="1">
      <c r="A909" s="1">
        <v>10</v>
      </c>
      <c r="B909" s="3">
        <f t="shared" si="1311"/>
        <v>1000</v>
      </c>
      <c r="C909" s="1">
        <f t="shared" si="1312"/>
        <v>2.5430625361471511E-2</v>
      </c>
      <c r="D909" s="1">
        <f t="shared" si="1281"/>
        <v>0.82937330097807582</v>
      </c>
      <c r="E909" s="1">
        <f t="shared" si="1313"/>
        <v>74.871789280352431</v>
      </c>
      <c r="F909" s="1">
        <f t="shared" si="1314"/>
        <v>20</v>
      </c>
      <c r="G909" s="1">
        <f t="shared" si="1315"/>
        <v>1000.005621471249</v>
      </c>
      <c r="H909" s="1">
        <f t="shared" si="1316"/>
        <v>65.509197006019292</v>
      </c>
      <c r="I909" s="1">
        <f t="shared" si="1317"/>
        <v>235.9359990057601</v>
      </c>
      <c r="J909" s="3">
        <f t="shared" si="1318"/>
        <v>31.622776601683793</v>
      </c>
      <c r="K909" s="47">
        <f t="shared" si="1319"/>
        <v>0.32312224225822339</v>
      </c>
      <c r="L909" s="3">
        <f t="shared" si="1320"/>
        <v>3</v>
      </c>
      <c r="M909" s="47">
        <f t="shared" si="1321"/>
        <v>0.41162069077480684</v>
      </c>
      <c r="N909" s="47">
        <f t="shared" si="1322"/>
        <v>242.75325692594689</v>
      </c>
      <c r="O909" s="1">
        <f t="shared" si="1323"/>
        <v>0.99766889600640773</v>
      </c>
      <c r="P909" s="1">
        <f t="shared" si="1324"/>
        <v>7.2882633629349476</v>
      </c>
      <c r="Q909" s="1">
        <f t="shared" si="1325"/>
        <v>75</v>
      </c>
      <c r="R909" s="1">
        <f t="shared" si="1326"/>
        <v>74.871789280352431</v>
      </c>
      <c r="S909" s="47">
        <f t="shared" si="1327"/>
        <v>173.99648789907198</v>
      </c>
      <c r="T909" s="1">
        <f t="shared" si="1328"/>
        <v>66.025684923073626</v>
      </c>
      <c r="U909" s="47">
        <f t="shared" si="1329"/>
        <v>65.918394265141629</v>
      </c>
      <c r="V909" s="47">
        <f t="shared" si="1330"/>
        <v>145.60559145025599</v>
      </c>
      <c r="W909" s="2">
        <f t="shared" si="1282"/>
        <v>1000.015621471249</v>
      </c>
      <c r="X909" s="1">
        <f t="shared" si="1331"/>
        <v>91.550251301297436</v>
      </c>
      <c r="Y909" s="1">
        <f t="shared" si="1332"/>
        <v>18.432536487409198</v>
      </c>
      <c r="Z909" s="2">
        <f t="shared" si="1333"/>
        <v>3.6839211626489301</v>
      </c>
      <c r="AA909" s="3">
        <f t="shared" si="1334"/>
        <v>1000</v>
      </c>
      <c r="AB909" s="1">
        <f t="shared" si="1251"/>
        <v>-1.5621227222428757E-5</v>
      </c>
      <c r="AC909" s="1">
        <f t="shared" si="1338"/>
        <v>0</v>
      </c>
      <c r="AD909" s="64">
        <f t="shared" si="1252"/>
        <v>0</v>
      </c>
      <c r="AE909" s="1">
        <f t="shared" si="1337"/>
        <v>18.918043001261093</v>
      </c>
    </row>
    <row r="910" spans="1:31" ht="13.5" customHeight="1">
      <c r="K910" s="47"/>
      <c r="L910" s="47"/>
      <c r="M910" s="47"/>
      <c r="N910" s="47">
        <f>SUM(N900:N909)</f>
        <v>6459.0215006305471</v>
      </c>
      <c r="O910" s="2" t="s">
        <v>46</v>
      </c>
      <c r="P910" s="2"/>
      <c r="Q910" s="2"/>
      <c r="R910" s="49">
        <f>R890</f>
        <v>75</v>
      </c>
      <c r="S910" s="50" t="s">
        <v>45</v>
      </c>
      <c r="T910" s="2"/>
      <c r="U910" s="11">
        <f>U909</f>
        <v>65.918394265141629</v>
      </c>
      <c r="V910" s="47"/>
      <c r="W910" s="2"/>
      <c r="Y910" s="1">
        <f>N911</f>
        <v>18.918043001261093</v>
      </c>
      <c r="AE910" s="1">
        <f t="shared" si="1337"/>
        <v>18.918043001261093</v>
      </c>
    </row>
    <row r="911" spans="1:31" ht="13.5" customHeight="1">
      <c r="K911" s="47"/>
      <c r="L911" s="2" t="s">
        <v>44</v>
      </c>
      <c r="M911" s="2"/>
      <c r="N911" s="47">
        <f>N910*2/1000+Y911</f>
        <v>18.918043001261093</v>
      </c>
      <c r="O911" s="2" t="s">
        <v>1</v>
      </c>
      <c r="P911" s="1">
        <f>SUM(P900:P909)</f>
        <v>63.825303785957345</v>
      </c>
      <c r="Q911" s="1" t="s">
        <v>43</v>
      </c>
      <c r="S911" s="47"/>
      <c r="U911" s="47"/>
      <c r="V911" s="47"/>
      <c r="W911" s="2"/>
      <c r="Y911" s="3">
        <f>Y891</f>
        <v>6</v>
      </c>
      <c r="Z911" s="3" t="s">
        <v>42</v>
      </c>
      <c r="AE911" s="1">
        <f>N911</f>
        <v>18.918043001261093</v>
      </c>
    </row>
    <row r="912" spans="1:31" ht="13.5" customHeight="1">
      <c r="L912" s="60" t="s">
        <v>41</v>
      </c>
      <c r="N912" s="3">
        <f>N892</f>
        <v>15</v>
      </c>
      <c r="O912" s="1" t="s">
        <v>1</v>
      </c>
    </row>
    <row r="915" spans="1:31" ht="13.5" customHeight="1" thickBot="1"/>
    <row r="916" spans="1:31" ht="13.5" customHeight="1">
      <c r="B916" s="14" t="s">
        <v>40</v>
      </c>
      <c r="C916" s="15"/>
      <c r="D916" s="15"/>
      <c r="E916" s="15"/>
      <c r="F916" s="15"/>
      <c r="G916" s="15"/>
      <c r="H916" s="15" t="s">
        <v>39</v>
      </c>
      <c r="I916" s="16"/>
      <c r="J916" s="14" t="s">
        <v>38</v>
      </c>
      <c r="K916" s="15"/>
      <c r="L916" s="15"/>
      <c r="M916" s="15"/>
      <c r="N916" s="15" t="s">
        <v>37</v>
      </c>
      <c r="O916" s="15"/>
      <c r="P916" s="15"/>
      <c r="Q916" s="15"/>
      <c r="R916" s="15"/>
      <c r="S916" s="16"/>
      <c r="T916" s="14" t="s">
        <v>36</v>
      </c>
      <c r="U916" s="15"/>
      <c r="V916" s="16"/>
      <c r="W916" s="14"/>
      <c r="X916" s="15"/>
      <c r="Y916" s="15"/>
      <c r="Z916" s="16"/>
    </row>
    <row r="917" spans="1:31" ht="13.5" customHeight="1">
      <c r="B917" s="17" t="s">
        <v>35</v>
      </c>
      <c r="C917" s="18" t="s">
        <v>22</v>
      </c>
      <c r="D917" s="18"/>
      <c r="E917" s="18" t="s">
        <v>34</v>
      </c>
      <c r="F917" s="18" t="s">
        <v>33</v>
      </c>
      <c r="G917" s="18" t="s">
        <v>7</v>
      </c>
      <c r="H917" s="18" t="s">
        <v>32</v>
      </c>
      <c r="I917" s="19" t="s">
        <v>22</v>
      </c>
      <c r="J917" s="17" t="s">
        <v>31</v>
      </c>
      <c r="K917" s="18"/>
      <c r="L917" s="18" t="s">
        <v>30</v>
      </c>
      <c r="M917" s="18"/>
      <c r="N917" s="18" t="s">
        <v>29</v>
      </c>
      <c r="O917" s="18"/>
      <c r="P917" s="18" t="s">
        <v>28</v>
      </c>
      <c r="Q917" s="20" t="s">
        <v>27</v>
      </c>
      <c r="R917" s="21" t="s">
        <v>26</v>
      </c>
      <c r="S917" s="22" t="s">
        <v>7</v>
      </c>
      <c r="T917" s="23" t="s">
        <v>25</v>
      </c>
      <c r="U917" s="24" t="s">
        <v>24</v>
      </c>
      <c r="V917" s="25" t="s">
        <v>7</v>
      </c>
      <c r="W917" s="26" t="s">
        <v>23</v>
      </c>
      <c r="X917" s="4" t="s">
        <v>22</v>
      </c>
      <c r="Y917" s="4" t="s">
        <v>21</v>
      </c>
      <c r="Z917" s="5" t="s">
        <v>20</v>
      </c>
    </row>
    <row r="918" spans="1:31" ht="13.5" customHeight="1">
      <c r="B918" s="54" t="s">
        <v>3</v>
      </c>
      <c r="C918" s="28" t="s">
        <v>17</v>
      </c>
      <c r="D918" s="20" t="s">
        <v>13</v>
      </c>
      <c r="E918" s="20" t="s">
        <v>19</v>
      </c>
      <c r="F918" s="28" t="s">
        <v>19</v>
      </c>
      <c r="G918" s="20" t="s">
        <v>3</v>
      </c>
      <c r="H918" s="20" t="s">
        <v>19</v>
      </c>
      <c r="I918" s="29" t="s">
        <v>12</v>
      </c>
      <c r="J918" s="55" t="s">
        <v>18</v>
      </c>
      <c r="K918" s="20" t="s">
        <v>17</v>
      </c>
      <c r="L918" s="56" t="s">
        <v>16</v>
      </c>
      <c r="M918" s="20" t="s">
        <v>15</v>
      </c>
      <c r="N918" s="20" t="s">
        <v>14</v>
      </c>
      <c r="O918" s="20" t="s">
        <v>13</v>
      </c>
      <c r="P918" s="20" t="s">
        <v>12</v>
      </c>
      <c r="Q918" s="20" t="s">
        <v>11</v>
      </c>
      <c r="R918" s="21" t="s">
        <v>11</v>
      </c>
      <c r="S918" s="22" t="s">
        <v>10</v>
      </c>
      <c r="T918" s="23" t="s">
        <v>9</v>
      </c>
      <c r="U918" s="24" t="s">
        <v>9</v>
      </c>
      <c r="V918" s="33" t="s">
        <v>8</v>
      </c>
      <c r="W918" s="34" t="s">
        <v>7</v>
      </c>
      <c r="X918" s="4" t="s">
        <v>6</v>
      </c>
      <c r="Y918" s="6" t="s">
        <v>5</v>
      </c>
      <c r="Z918" s="7" t="s">
        <v>5</v>
      </c>
    </row>
    <row r="919" spans="1:31" ht="13.5" customHeight="1" thickBot="1">
      <c r="B919" s="57"/>
      <c r="C919" s="3">
        <f>C899</f>
        <v>1.05</v>
      </c>
      <c r="D919" s="37"/>
      <c r="E919" s="38"/>
      <c r="F919" s="38"/>
      <c r="G919" s="37"/>
      <c r="H919" s="37"/>
      <c r="I919" s="39"/>
      <c r="J919" s="58" t="s">
        <v>4</v>
      </c>
      <c r="K919" s="44"/>
      <c r="L919" s="59"/>
      <c r="M919" s="37"/>
      <c r="N919" s="37"/>
      <c r="O919" s="37"/>
      <c r="P919" s="37"/>
      <c r="Q919" s="42"/>
      <c r="R919" s="42"/>
      <c r="S919" s="52" t="s">
        <v>3</v>
      </c>
      <c r="T919" s="43"/>
      <c r="U919" s="44"/>
      <c r="V919" s="39" t="s">
        <v>3</v>
      </c>
      <c r="W919" s="45" t="s">
        <v>3</v>
      </c>
      <c r="X919" s="8" t="s">
        <v>2</v>
      </c>
      <c r="Y919" s="9" t="s">
        <v>1</v>
      </c>
      <c r="Z919" s="13" t="s">
        <v>0</v>
      </c>
    </row>
    <row r="920" spans="1:31" ht="13.5" customHeight="1">
      <c r="A920" s="1">
        <v>1</v>
      </c>
      <c r="B920" s="3">
        <f t="shared" ref="B920:B929" si="1339">B900</f>
        <v>1000</v>
      </c>
      <c r="C920" s="1">
        <f t="shared" ref="C920:C929" si="1340">IF(B920&lt;1,0.000001,C900*(1+AB900))</f>
        <v>4.5150688293635076E-2</v>
      </c>
      <c r="D920" s="1">
        <f t="shared" si="1281"/>
        <v>0.90106225740340551</v>
      </c>
      <c r="E920" s="1">
        <f t="shared" ref="E920:E929" si="1341">R920</f>
        <v>73.235152036238702</v>
      </c>
      <c r="F920" s="1">
        <f t="shared" ref="F920:F929" si="1342">F900</f>
        <v>20</v>
      </c>
      <c r="G920" s="1">
        <f t="shared" ref="G920:G929" si="1343">(E920-F920)*C920*(1-D920)*4200</f>
        <v>998.78994474311241</v>
      </c>
      <c r="H920" s="1">
        <f t="shared" ref="H920:H929" si="1344">(E920-F920)*D920+F920</f>
        <v>67.968186266986748</v>
      </c>
      <c r="I920" s="1">
        <f t="shared" ref="I920:I929" si="1345">B920*0.001*6/C920</f>
        <v>132.88833961908449</v>
      </c>
      <c r="J920" s="3">
        <f t="shared" ref="J920:J929" si="1346">J900</f>
        <v>10</v>
      </c>
      <c r="K920" s="47">
        <f t="shared" ref="K920:K929" si="1347">K919+C920</f>
        <v>4.5150688293635076E-2</v>
      </c>
      <c r="L920" s="3">
        <f t="shared" ref="L920:L929" si="1348">L900</f>
        <v>3</v>
      </c>
      <c r="M920" s="47">
        <f t="shared" ref="M920:M929" si="1349">K920/(J920*J920*3.14/4000)</f>
        <v>0.5751680037405742</v>
      </c>
      <c r="N920" s="47">
        <f t="shared" ref="N920:N929" si="1350">L920*26400/J920^1.27*M920^1.83*$N$69</f>
        <v>1932.2331532050214</v>
      </c>
      <c r="O920" s="1">
        <f t="shared" ref="O920:O929" si="1351">EXP(-(J920+2)*3.14/1000*$O$66/(M920*J920*J920*3.14/4000*4200)*L920)</f>
        <v>0.99405674022405544</v>
      </c>
      <c r="P920" s="1">
        <f t="shared" ref="P920:P929" si="1352">L920/M920</f>
        <v>5.2158673300490657</v>
      </c>
      <c r="Q920" s="1">
        <f t="shared" ref="Q920:Q929" si="1353">R921</f>
        <v>73.553434006432838</v>
      </c>
      <c r="R920" s="1">
        <f t="shared" ref="R920:R929" si="1354">(Q920-F920)*O920+F920</f>
        <v>73.235152036238702</v>
      </c>
      <c r="S920" s="47">
        <f t="shared" ref="S920:S929" si="1355">K920*(1-O920)*4200*(Q920-F920)</f>
        <v>60.356730108021466</v>
      </c>
      <c r="T920" s="1">
        <f t="shared" ref="T920:T929" si="1356">(U919*K919+H920*C920)/K920</f>
        <v>67.968186266986748</v>
      </c>
      <c r="U920" s="47">
        <f t="shared" ref="U920:U929" si="1357">(T920-F920)*O920+F920</f>
        <v>67.683098875021159</v>
      </c>
      <c r="V920" s="47">
        <f t="shared" ref="V920:V929" si="1358">K920*(1-O920)*4200*(T920-F920)</f>
        <v>54.061946278553293</v>
      </c>
      <c r="W920" s="2">
        <f t="shared" si="1282"/>
        <v>998.79994474311241</v>
      </c>
      <c r="X920" s="1">
        <f t="shared" ref="X920:X929" si="1359">C920*3600</f>
        <v>162.54247785708628</v>
      </c>
      <c r="Y920" s="1">
        <f t="shared" ref="Y920:Y929" si="1360">Y921-2*N920/1000</f>
        <v>6.0000000000000053</v>
      </c>
      <c r="Z920" s="2">
        <f t="shared" ref="Z920:Z929" si="1361">-1.1-1.8*LOG10(Y920/X920/X920)</f>
        <v>5.4588085029507631</v>
      </c>
      <c r="AA920" s="3">
        <f t="shared" ref="AA920:AA929" si="1362">AA900</f>
        <v>1000</v>
      </c>
      <c r="AB920" s="1">
        <f t="shared" ref="AB920:AB983" si="1363">((AA920/W920)-1)*AB$23+AC920+AD920</f>
        <v>1.2014971198224256E-3</v>
      </c>
      <c r="AC920" s="1">
        <f>((N932/N931)-1)*AB$24</f>
        <v>0</v>
      </c>
      <c r="AD920" s="64">
        <f t="shared" ref="AD920:AD983" si="1364">(AC$21-(X920/1000/SQRT(Y920/104))*1000/B920)*AB$21</f>
        <v>0</v>
      </c>
      <c r="AE920" s="1">
        <f t="shared" ref="AE920:AE930" si="1365">AE921</f>
        <v>18.939873178097276</v>
      </c>
    </row>
    <row r="921" spans="1:31" ht="13.5" customHeight="1">
      <c r="A921" s="1">
        <v>2</v>
      </c>
      <c r="B921" s="3">
        <f t="shared" si="1339"/>
        <v>1000</v>
      </c>
      <c r="C921" s="1">
        <f t="shared" si="1340"/>
        <v>3.9336927470755151E-2</v>
      </c>
      <c r="D921" s="1">
        <f t="shared" si="1281"/>
        <v>0.88705841520357187</v>
      </c>
      <c r="E921" s="1">
        <f t="shared" si="1341"/>
        <v>73.553434006432838</v>
      </c>
      <c r="F921" s="1">
        <f t="shared" si="1342"/>
        <v>20</v>
      </c>
      <c r="G921" s="1">
        <f t="shared" si="1343"/>
        <v>999.28858678370545</v>
      </c>
      <c r="H921" s="1">
        <f t="shared" si="1344"/>
        <v>67.505024298455396</v>
      </c>
      <c r="I921" s="1">
        <f t="shared" si="1345"/>
        <v>152.52843538582599</v>
      </c>
      <c r="J921" s="3">
        <f t="shared" si="1346"/>
        <v>14.142135623730951</v>
      </c>
      <c r="K921" s="47">
        <f t="shared" si="1347"/>
        <v>8.4487615764390234E-2</v>
      </c>
      <c r="L921" s="3">
        <f t="shared" si="1348"/>
        <v>3</v>
      </c>
      <c r="M921" s="47">
        <f t="shared" si="1349"/>
        <v>0.53813768002796314</v>
      </c>
      <c r="N921" s="47">
        <f t="shared" si="1350"/>
        <v>1101.5800781994542</v>
      </c>
      <c r="O921" s="1">
        <f t="shared" si="1351"/>
        <v>0.99572398356285841</v>
      </c>
      <c r="P921" s="1">
        <f t="shared" si="1352"/>
        <v>5.5747815314551321</v>
      </c>
      <c r="Q921" s="1">
        <f t="shared" si="1353"/>
        <v>73.783412763454947</v>
      </c>
      <c r="R921" s="1">
        <f t="shared" si="1354"/>
        <v>73.553434006432838</v>
      </c>
      <c r="S921" s="47">
        <f t="shared" si="1355"/>
        <v>81.607498800473593</v>
      </c>
      <c r="T921" s="1">
        <f t="shared" si="1356"/>
        <v>67.600188419573016</v>
      </c>
      <c r="U921" s="47">
        <f t="shared" si="1357"/>
        <v>67.396649231479884</v>
      </c>
      <c r="V921" s="47">
        <f t="shared" si="1358"/>
        <v>72.225471009755353</v>
      </c>
      <c r="W921" s="2">
        <f t="shared" si="1282"/>
        <v>999.29858678370545</v>
      </c>
      <c r="X921" s="1">
        <f t="shared" si="1359"/>
        <v>141.61293889471855</v>
      </c>
      <c r="Y921" s="1">
        <f t="shared" si="1360"/>
        <v>9.8644663064100477</v>
      </c>
      <c r="Z921" s="2">
        <f t="shared" si="1361"/>
        <v>4.8546381001178034</v>
      </c>
      <c r="AA921" s="3">
        <f t="shared" si="1362"/>
        <v>1000</v>
      </c>
      <c r="AB921" s="1">
        <f t="shared" si="1363"/>
        <v>7.019055421184639E-4</v>
      </c>
      <c r="AC921" s="1">
        <f t="shared" ref="AC921:AC929" si="1366">AC920</f>
        <v>0</v>
      </c>
      <c r="AD921" s="64">
        <f t="shared" si="1364"/>
        <v>0</v>
      </c>
      <c r="AE921" s="1">
        <f t="shared" si="1365"/>
        <v>18.939873178097276</v>
      </c>
    </row>
    <row r="922" spans="1:31" ht="13.5" customHeight="1">
      <c r="A922" s="1">
        <v>3</v>
      </c>
      <c r="B922" s="3">
        <f t="shared" si="1339"/>
        <v>1000</v>
      </c>
      <c r="C922" s="1">
        <f t="shared" si="1340"/>
        <v>3.5943808396940488E-2</v>
      </c>
      <c r="D922" s="1">
        <f t="shared" si="1281"/>
        <v>0.87689471772120597</v>
      </c>
      <c r="E922" s="1">
        <f t="shared" si="1341"/>
        <v>73.783412763454947</v>
      </c>
      <c r="F922" s="1">
        <f t="shared" si="1342"/>
        <v>20</v>
      </c>
      <c r="G922" s="1">
        <f t="shared" si="1343"/>
        <v>999.53596559859375</v>
      </c>
      <c r="H922" s="1">
        <f t="shared" si="1344"/>
        <v>67.162390553292937</v>
      </c>
      <c r="I922" s="1">
        <f t="shared" si="1345"/>
        <v>166.92721966854006</v>
      </c>
      <c r="J922" s="3">
        <f t="shared" si="1346"/>
        <v>17.320508075688775</v>
      </c>
      <c r="K922" s="47">
        <f t="shared" si="1347"/>
        <v>0.12043142416133072</v>
      </c>
      <c r="L922" s="3">
        <f t="shared" si="1348"/>
        <v>3</v>
      </c>
      <c r="M922" s="47">
        <f t="shared" si="1349"/>
        <v>0.51138608985703049</v>
      </c>
      <c r="N922" s="47">
        <f t="shared" si="1350"/>
        <v>775.66412299976514</v>
      </c>
      <c r="O922" s="1">
        <f t="shared" si="1351"/>
        <v>0.99640830676027248</v>
      </c>
      <c r="P922" s="1">
        <f t="shared" si="1352"/>
        <v>5.866409078195141</v>
      </c>
      <c r="Q922" s="1">
        <f t="shared" si="1353"/>
        <v>73.977282604484344</v>
      </c>
      <c r="R922" s="1">
        <f t="shared" si="1354"/>
        <v>73.783412763454947</v>
      </c>
      <c r="S922" s="47">
        <f t="shared" si="1355"/>
        <v>98.061688439820145</v>
      </c>
      <c r="T922" s="1">
        <f t="shared" si="1356"/>
        <v>67.326732686834589</v>
      </c>
      <c r="U922" s="47">
        <f t="shared" si="1357"/>
        <v>67.156749580984894</v>
      </c>
      <c r="V922" s="47">
        <f t="shared" si="1358"/>
        <v>85.979491587549163</v>
      </c>
      <c r="W922" s="2">
        <f t="shared" si="1282"/>
        <v>999.54596559859374</v>
      </c>
      <c r="X922" s="1">
        <f t="shared" si="1359"/>
        <v>129.39771022898574</v>
      </c>
      <c r="Y922" s="1">
        <f t="shared" si="1360"/>
        <v>12.067626462808956</v>
      </c>
      <c r="Z922" s="2">
        <f t="shared" si="1361"/>
        <v>4.5560163829923965</v>
      </c>
      <c r="AA922" s="3">
        <f t="shared" si="1362"/>
        <v>1000</v>
      </c>
      <c r="AB922" s="1">
        <f t="shared" si="1363"/>
        <v>4.5424064228427596E-4</v>
      </c>
      <c r="AC922" s="1">
        <f t="shared" si="1366"/>
        <v>0</v>
      </c>
      <c r="AD922" s="64">
        <f t="shared" si="1364"/>
        <v>0</v>
      </c>
      <c r="AE922" s="1">
        <f t="shared" si="1365"/>
        <v>18.939873178097276</v>
      </c>
    </row>
    <row r="923" spans="1:31" ht="13.5" customHeight="1">
      <c r="A923" s="1">
        <v>4</v>
      </c>
      <c r="B923" s="3">
        <f t="shared" si="1339"/>
        <v>1000</v>
      </c>
      <c r="C923" s="1">
        <f t="shared" si="1340"/>
        <v>3.3491240638410906E-2</v>
      </c>
      <c r="D923" s="1">
        <f t="shared" si="1281"/>
        <v>0.86833394238529793</v>
      </c>
      <c r="E923" s="1">
        <f t="shared" si="1341"/>
        <v>73.977282604484344</v>
      </c>
      <c r="F923" s="1">
        <f t="shared" si="1342"/>
        <v>20</v>
      </c>
      <c r="G923" s="1">
        <f t="shared" si="1343"/>
        <v>999.69006257617252</v>
      </c>
      <c r="H923" s="1">
        <f t="shared" si="1344"/>
        <v>66.87030660319725</v>
      </c>
      <c r="I923" s="1">
        <f t="shared" si="1345"/>
        <v>179.15132093131945</v>
      </c>
      <c r="J923" s="3">
        <f t="shared" si="1346"/>
        <v>20</v>
      </c>
      <c r="K923" s="47">
        <f t="shared" si="1347"/>
        <v>0.15392266479974162</v>
      </c>
      <c r="L923" s="3">
        <f t="shared" si="1348"/>
        <v>3</v>
      </c>
      <c r="M923" s="47">
        <f t="shared" si="1349"/>
        <v>0.49019956942592874</v>
      </c>
      <c r="N923" s="47">
        <f t="shared" si="1350"/>
        <v>598.01152471340379</v>
      </c>
      <c r="O923" s="1">
        <f t="shared" si="1351"/>
        <v>0.99679944128675801</v>
      </c>
      <c r="P923" s="1">
        <f t="shared" si="1352"/>
        <v>6.1199564159415543</v>
      </c>
      <c r="Q923" s="1">
        <f t="shared" si="1353"/>
        <v>74.150594762378319</v>
      </c>
      <c r="R923" s="1">
        <f t="shared" si="1354"/>
        <v>73.977282604484344</v>
      </c>
      <c r="S923" s="47">
        <f t="shared" si="1355"/>
        <v>112.04201057797768</v>
      </c>
      <c r="T923" s="1">
        <f t="shared" si="1356"/>
        <v>67.094423927314921</v>
      </c>
      <c r="U923" s="47">
        <f t="shared" si="1357"/>
        <v>66.94369545846925</v>
      </c>
      <c r="V923" s="47">
        <f t="shared" si="1358"/>
        <v>97.44221586082972</v>
      </c>
      <c r="W923" s="2">
        <f t="shared" si="1282"/>
        <v>999.70006257617251</v>
      </c>
      <c r="X923" s="1">
        <f t="shared" si="1359"/>
        <v>120.56846629827926</v>
      </c>
      <c r="Y923" s="1">
        <f t="shared" si="1360"/>
        <v>13.618954708808486</v>
      </c>
      <c r="Z923" s="2">
        <f t="shared" si="1361"/>
        <v>4.3509826552096289</v>
      </c>
      <c r="AA923" s="3">
        <f t="shared" si="1362"/>
        <v>1000</v>
      </c>
      <c r="AB923" s="1">
        <f t="shared" si="1363"/>
        <v>3.0002741327694871E-4</v>
      </c>
      <c r="AC923" s="1">
        <f t="shared" si="1366"/>
        <v>0</v>
      </c>
      <c r="AD923" s="64">
        <f t="shared" si="1364"/>
        <v>0</v>
      </c>
      <c r="AE923" s="1">
        <f t="shared" si="1365"/>
        <v>18.939873178097276</v>
      </c>
    </row>
    <row r="924" spans="1:31" ht="13.5" customHeight="1">
      <c r="A924" s="1">
        <v>5</v>
      </c>
      <c r="B924" s="3">
        <f t="shared" si="1339"/>
        <v>1000</v>
      </c>
      <c r="C924" s="1">
        <f t="shared" si="1340"/>
        <v>3.1558454186603635E-2</v>
      </c>
      <c r="D924" s="1">
        <f t="shared" si="1281"/>
        <v>0.86070277174194898</v>
      </c>
      <c r="E924" s="1">
        <f t="shared" si="1341"/>
        <v>74.150594762378319</v>
      </c>
      <c r="F924" s="1">
        <f t="shared" si="1342"/>
        <v>20</v>
      </c>
      <c r="G924" s="1">
        <f t="shared" si="1343"/>
        <v>999.79444302481772</v>
      </c>
      <c r="H924" s="1">
        <f t="shared" si="1344"/>
        <v>66.607567003454079</v>
      </c>
      <c r="I924" s="1">
        <f t="shared" si="1345"/>
        <v>190.12338071194128</v>
      </c>
      <c r="J924" s="3">
        <f t="shared" si="1346"/>
        <v>22.360679774997898</v>
      </c>
      <c r="K924" s="47">
        <f t="shared" si="1347"/>
        <v>0.18548111898634526</v>
      </c>
      <c r="L924" s="3">
        <f t="shared" si="1348"/>
        <v>3</v>
      </c>
      <c r="M924" s="47">
        <f t="shared" si="1349"/>
        <v>0.47256336047476488</v>
      </c>
      <c r="N924" s="47">
        <f t="shared" si="1350"/>
        <v>485.34563307552025</v>
      </c>
      <c r="O924" s="1">
        <f t="shared" si="1351"/>
        <v>0.9970586154267459</v>
      </c>
      <c r="P924" s="1">
        <f t="shared" si="1352"/>
        <v>6.3483550586444615</v>
      </c>
      <c r="Q924" s="1">
        <f t="shared" si="1353"/>
        <v>74.310342365580595</v>
      </c>
      <c r="R924" s="1">
        <f t="shared" si="1354"/>
        <v>74.150594762378319</v>
      </c>
      <c r="S924" s="47">
        <f t="shared" si="1355"/>
        <v>124.4466896288416</v>
      </c>
      <c r="T924" s="1">
        <f t="shared" si="1356"/>
        <v>66.886505300751949</v>
      </c>
      <c r="U924" s="47">
        <f t="shared" si="1357"/>
        <v>66.748594057366518</v>
      </c>
      <c r="V924" s="47">
        <f t="shared" si="1358"/>
        <v>107.43571332449541</v>
      </c>
      <c r="W924" s="2">
        <f t="shared" si="1282"/>
        <v>999.80444302481772</v>
      </c>
      <c r="X924" s="1">
        <f t="shared" si="1359"/>
        <v>113.61043507177308</v>
      </c>
      <c r="Y924" s="1">
        <f t="shared" si="1360"/>
        <v>14.814977758235294</v>
      </c>
      <c r="Z924" s="2">
        <f t="shared" si="1361"/>
        <v>4.1922437958598113</v>
      </c>
      <c r="AA924" s="3">
        <f t="shared" si="1362"/>
        <v>1000</v>
      </c>
      <c r="AB924" s="1">
        <f t="shared" si="1363"/>
        <v>1.9559522519285721E-4</v>
      </c>
      <c r="AC924" s="1">
        <f t="shared" si="1366"/>
        <v>0</v>
      </c>
      <c r="AD924" s="64">
        <f t="shared" si="1364"/>
        <v>0</v>
      </c>
      <c r="AE924" s="1">
        <f t="shared" si="1365"/>
        <v>18.939873178097276</v>
      </c>
    </row>
    <row r="925" spans="1:31" ht="13.5" customHeight="1">
      <c r="A925" s="1">
        <v>6</v>
      </c>
      <c r="B925" s="3">
        <f t="shared" si="1339"/>
        <v>1000</v>
      </c>
      <c r="C925" s="1">
        <f t="shared" si="1340"/>
        <v>2.9961011135808072E-2</v>
      </c>
      <c r="D925" s="1">
        <f t="shared" si="1281"/>
        <v>0.85369661613060832</v>
      </c>
      <c r="E925" s="1">
        <f t="shared" si="1341"/>
        <v>74.310342365580595</v>
      </c>
      <c r="F925" s="1">
        <f t="shared" si="1342"/>
        <v>20</v>
      </c>
      <c r="G925" s="1">
        <f t="shared" si="1343"/>
        <v>999.86799700462848</v>
      </c>
      <c r="H925" s="1">
        <f t="shared" si="1344"/>
        <v>66.36455549839097</v>
      </c>
      <c r="I925" s="1">
        <f t="shared" si="1345"/>
        <v>200.26026400788143</v>
      </c>
      <c r="J925" s="3">
        <f t="shared" si="1346"/>
        <v>24.494897427831781</v>
      </c>
      <c r="K925" s="47">
        <f t="shared" si="1347"/>
        <v>0.21544213012215332</v>
      </c>
      <c r="L925" s="3">
        <f t="shared" si="1348"/>
        <v>3</v>
      </c>
      <c r="M925" s="47">
        <f t="shared" si="1349"/>
        <v>0.45741428900669501</v>
      </c>
      <c r="N925" s="47">
        <f t="shared" si="1350"/>
        <v>407.26393347119136</v>
      </c>
      <c r="O925" s="1">
        <f t="shared" si="1351"/>
        <v>0.99724555304993701</v>
      </c>
      <c r="P925" s="1">
        <f t="shared" si="1352"/>
        <v>6.5586057805817477</v>
      </c>
      <c r="Q925" s="1">
        <f t="shared" si="1353"/>
        <v>74.460350511947581</v>
      </c>
      <c r="R925" s="1">
        <f t="shared" si="1354"/>
        <v>74.310342365580595</v>
      </c>
      <c r="S925" s="47">
        <f t="shared" si="1355"/>
        <v>135.73591327372145</v>
      </c>
      <c r="T925" s="1">
        <f t="shared" si="1356"/>
        <v>66.695186752418678</v>
      </c>
      <c r="U925" s="47">
        <f t="shared" si="1357"/>
        <v>66.566567337685854</v>
      </c>
      <c r="V925" s="47">
        <f t="shared" si="1358"/>
        <v>116.38217087743574</v>
      </c>
      <c r="W925" s="2">
        <f t="shared" si="1282"/>
        <v>999.87799700462847</v>
      </c>
      <c r="X925" s="1">
        <f t="shared" si="1359"/>
        <v>107.85964008890906</v>
      </c>
      <c r="Y925" s="1">
        <f t="shared" si="1360"/>
        <v>15.785669024386335</v>
      </c>
      <c r="Z925" s="2">
        <f t="shared" si="1361"/>
        <v>4.0614188934029674</v>
      </c>
      <c r="AA925" s="3">
        <f t="shared" si="1362"/>
        <v>1000</v>
      </c>
      <c r="AB925" s="1">
        <f t="shared" si="1363"/>
        <v>1.2201788191856799E-4</v>
      </c>
      <c r="AC925" s="1">
        <f t="shared" si="1366"/>
        <v>0</v>
      </c>
      <c r="AD925" s="64">
        <f t="shared" si="1364"/>
        <v>0</v>
      </c>
      <c r="AE925" s="1">
        <f t="shared" si="1365"/>
        <v>18.939873178097276</v>
      </c>
    </row>
    <row r="926" spans="1:31" ht="13.5" customHeight="1">
      <c r="A926" s="1">
        <v>7</v>
      </c>
      <c r="B926" s="3">
        <f t="shared" si="1339"/>
        <v>1000</v>
      </c>
      <c r="C926" s="1">
        <f t="shared" si="1340"/>
        <v>2.8599922492007115E-2</v>
      </c>
      <c r="D926" s="1">
        <f t="shared" si="1281"/>
        <v>0.84714803639346836</v>
      </c>
      <c r="E926" s="1">
        <f t="shared" si="1341"/>
        <v>74.460350511947581</v>
      </c>
      <c r="F926" s="1">
        <f t="shared" si="1342"/>
        <v>20</v>
      </c>
      <c r="G926" s="1">
        <f t="shared" si="1343"/>
        <v>999.92079645349622</v>
      </c>
      <c r="H926" s="1">
        <f t="shared" si="1344"/>
        <v>66.135978997496409</v>
      </c>
      <c r="I926" s="1">
        <f t="shared" si="1345"/>
        <v>209.79077833783757</v>
      </c>
      <c r="J926" s="3">
        <f t="shared" si="1346"/>
        <v>26.457513110645905</v>
      </c>
      <c r="K926" s="47">
        <f t="shared" si="1347"/>
        <v>0.24404205261416045</v>
      </c>
      <c r="L926" s="3">
        <f t="shared" si="1348"/>
        <v>3</v>
      </c>
      <c r="M926" s="47">
        <f t="shared" si="1349"/>
        <v>0.44411656526689802</v>
      </c>
      <c r="N926" s="47">
        <f t="shared" si="1350"/>
        <v>349.8786149663203</v>
      </c>
      <c r="O926" s="1">
        <f t="shared" si="1351"/>
        <v>0.99738804259528091</v>
      </c>
      <c r="P926" s="1">
        <f t="shared" si="1352"/>
        <v>6.7549833413601865</v>
      </c>
      <c r="Q926" s="1">
        <f t="shared" si="1353"/>
        <v>74.602971146754015</v>
      </c>
      <c r="R926" s="1">
        <f t="shared" si="1354"/>
        <v>74.460350511947581</v>
      </c>
      <c r="S926" s="47">
        <f t="shared" si="1355"/>
        <v>146.18281634583903</v>
      </c>
      <c r="T926" s="1">
        <f t="shared" si="1356"/>
        <v>66.516105570857292</v>
      </c>
      <c r="U926" s="47">
        <f t="shared" si="1357"/>
        <v>66.3946074844728</v>
      </c>
      <c r="V926" s="47">
        <f t="shared" si="1358"/>
        <v>124.53269803785253</v>
      </c>
      <c r="W926" s="2">
        <f t="shared" si="1282"/>
        <v>999.93079645349621</v>
      </c>
      <c r="X926" s="1">
        <f t="shared" si="1359"/>
        <v>102.95972097122562</v>
      </c>
      <c r="Y926" s="1">
        <f t="shared" si="1360"/>
        <v>16.600196891328718</v>
      </c>
      <c r="Z926" s="2">
        <f t="shared" si="1361"/>
        <v>3.9493986544775637</v>
      </c>
      <c r="AA926" s="3">
        <f t="shared" si="1362"/>
        <v>1000</v>
      </c>
      <c r="AB926" s="1">
        <f t="shared" si="1363"/>
        <v>6.9208335966131074E-5</v>
      </c>
      <c r="AC926" s="1">
        <f t="shared" si="1366"/>
        <v>0</v>
      </c>
      <c r="AD926" s="64">
        <f t="shared" si="1364"/>
        <v>0</v>
      </c>
      <c r="AE926" s="1">
        <f t="shared" si="1365"/>
        <v>18.939873178097276</v>
      </c>
    </row>
    <row r="927" spans="1:31" ht="13.5" customHeight="1">
      <c r="A927" s="1">
        <v>8</v>
      </c>
      <c r="B927" s="3">
        <f t="shared" si="1339"/>
        <v>1000</v>
      </c>
      <c r="C927" s="1">
        <f t="shared" si="1340"/>
        <v>2.741528076589508E-2</v>
      </c>
      <c r="D927" s="1">
        <f t="shared" si="1281"/>
        <v>0.84095358471662918</v>
      </c>
      <c r="E927" s="1">
        <f t="shared" si="1341"/>
        <v>74.602971146754015</v>
      </c>
      <c r="F927" s="1">
        <f t="shared" si="1342"/>
        <v>20</v>
      </c>
      <c r="G927" s="1">
        <f t="shared" si="1343"/>
        <v>999.9588958159502</v>
      </c>
      <c r="H927" s="1">
        <f t="shared" si="1344"/>
        <v>65.918564322041462</v>
      </c>
      <c r="I927" s="1">
        <f t="shared" si="1345"/>
        <v>218.85604788202892</v>
      </c>
      <c r="J927" s="3">
        <f t="shared" si="1346"/>
        <v>28.284271247461902</v>
      </c>
      <c r="K927" s="47">
        <f t="shared" si="1347"/>
        <v>0.27145733338005551</v>
      </c>
      <c r="L927" s="3">
        <f t="shared" si="1348"/>
        <v>3</v>
      </c>
      <c r="M927" s="47">
        <f t="shared" si="1349"/>
        <v>0.43225690028671254</v>
      </c>
      <c r="N927" s="47">
        <f t="shared" si="1350"/>
        <v>305.90092735149176</v>
      </c>
      <c r="O927" s="1">
        <f t="shared" si="1351"/>
        <v>0.99750095581546994</v>
      </c>
      <c r="P927" s="1">
        <f t="shared" si="1352"/>
        <v>6.940317200280953</v>
      </c>
      <c r="Q927" s="1">
        <f t="shared" si="1353"/>
        <v>74.739768246252339</v>
      </c>
      <c r="R927" s="1">
        <f t="shared" si="1354"/>
        <v>74.602971146754015</v>
      </c>
      <c r="S927" s="47">
        <f t="shared" si="1355"/>
        <v>155.96521854454872</v>
      </c>
      <c r="T927" s="1">
        <f t="shared" si="1356"/>
        <v>66.346530474387137</v>
      </c>
      <c r="U927" s="47">
        <f t="shared" si="1357"/>
        <v>66.23070844693197</v>
      </c>
      <c r="V927" s="47">
        <f t="shared" si="1358"/>
        <v>132.05110262253001</v>
      </c>
      <c r="W927" s="2">
        <f t="shared" si="1282"/>
        <v>999.96889581595019</v>
      </c>
      <c r="X927" s="1">
        <f t="shared" si="1359"/>
        <v>98.695010757222292</v>
      </c>
      <c r="Y927" s="1">
        <f t="shared" si="1360"/>
        <v>17.299954121261358</v>
      </c>
      <c r="Z927" s="2">
        <f t="shared" si="1361"/>
        <v>3.8509818028522429</v>
      </c>
      <c r="AA927" s="3">
        <f t="shared" si="1362"/>
        <v>1000</v>
      </c>
      <c r="AB927" s="1">
        <f t="shared" si="1363"/>
        <v>3.1105151550248067E-5</v>
      </c>
      <c r="AC927" s="1">
        <f t="shared" si="1366"/>
        <v>0</v>
      </c>
      <c r="AD927" s="64">
        <f t="shared" si="1364"/>
        <v>0</v>
      </c>
      <c r="AE927" s="1">
        <f t="shared" si="1365"/>
        <v>18.939873178097276</v>
      </c>
    </row>
    <row r="928" spans="1:31" ht="13.5" customHeight="1">
      <c r="A928" s="1">
        <v>9</v>
      </c>
      <c r="B928" s="3">
        <f t="shared" si="1339"/>
        <v>1000</v>
      </c>
      <c r="C928" s="1">
        <f t="shared" si="1340"/>
        <v>2.6367807408332503E-2</v>
      </c>
      <c r="D928" s="1">
        <f t="shared" si="1281"/>
        <v>0.83504413672255096</v>
      </c>
      <c r="E928" s="1">
        <f t="shared" si="1341"/>
        <v>74.739768246252339</v>
      </c>
      <c r="F928" s="1">
        <f t="shared" si="1342"/>
        <v>20</v>
      </c>
      <c r="G928" s="1">
        <f t="shared" si="1343"/>
        <v>999.98622984227381</v>
      </c>
      <c r="H928" s="1">
        <f t="shared" si="1344"/>
        <v>65.710122519584289</v>
      </c>
      <c r="I928" s="1">
        <f t="shared" si="1345"/>
        <v>227.55020571425811</v>
      </c>
      <c r="J928" s="3">
        <f t="shared" si="1346"/>
        <v>30</v>
      </c>
      <c r="K928" s="47">
        <f t="shared" si="1347"/>
        <v>0.29782514078838801</v>
      </c>
      <c r="L928" s="3">
        <f t="shared" si="1348"/>
        <v>3</v>
      </c>
      <c r="M928" s="47">
        <f t="shared" si="1349"/>
        <v>0.42155009311873742</v>
      </c>
      <c r="N928" s="47">
        <f t="shared" si="1350"/>
        <v>271.12228623016046</v>
      </c>
      <c r="O928" s="1">
        <f t="shared" si="1351"/>
        <v>0.9975930501174608</v>
      </c>
      <c r="P928" s="1">
        <f t="shared" si="1352"/>
        <v>7.1165919518727145</v>
      </c>
      <c r="Q928" s="1">
        <f t="shared" si="1353"/>
        <v>74.871842019956986</v>
      </c>
      <c r="R928" s="1">
        <f t="shared" si="1354"/>
        <v>74.739768246252339</v>
      </c>
      <c r="S928" s="47">
        <f t="shared" si="1355"/>
        <v>165.20653904176629</v>
      </c>
      <c r="T928" s="1">
        <f t="shared" si="1356"/>
        <v>66.184618619070363</v>
      </c>
      <c r="U928" s="47">
        <f t="shared" si="1357"/>
        <v>66.073454556710075</v>
      </c>
      <c r="V928" s="47">
        <f t="shared" si="1358"/>
        <v>139.05130059686149</v>
      </c>
      <c r="W928" s="2">
        <f t="shared" si="1282"/>
        <v>999.99622984227381</v>
      </c>
      <c r="X928" s="1">
        <f t="shared" si="1359"/>
        <v>94.924106669997016</v>
      </c>
      <c r="Y928" s="1">
        <f t="shared" si="1360"/>
        <v>17.91175597596434</v>
      </c>
      <c r="Z928" s="2">
        <f t="shared" si="1361"/>
        <v>3.7629067722212706</v>
      </c>
      <c r="AA928" s="3">
        <f t="shared" si="1362"/>
        <v>1000</v>
      </c>
      <c r="AB928" s="1">
        <f t="shared" si="1363"/>
        <v>3.770171940420397E-6</v>
      </c>
      <c r="AC928" s="1">
        <f t="shared" si="1366"/>
        <v>0</v>
      </c>
      <c r="AD928" s="64">
        <f t="shared" si="1364"/>
        <v>0</v>
      </c>
      <c r="AE928" s="1">
        <f t="shared" si="1365"/>
        <v>18.939873178097276</v>
      </c>
    </row>
    <row r="929" spans="1:31" ht="13.5" customHeight="1">
      <c r="A929" s="1">
        <v>10</v>
      </c>
      <c r="B929" s="3">
        <f t="shared" si="1339"/>
        <v>1000</v>
      </c>
      <c r="C929" s="1">
        <f t="shared" si="1340"/>
        <v>2.543022810389433E-2</v>
      </c>
      <c r="D929" s="1">
        <f t="shared" si="1281"/>
        <v>0.82937082051388189</v>
      </c>
      <c r="E929" s="1">
        <f t="shared" si="1341"/>
        <v>74.871842019956986</v>
      </c>
      <c r="F929" s="1">
        <f t="shared" si="1342"/>
        <v>20</v>
      </c>
      <c r="G929" s="1">
        <f t="shared" si="1343"/>
        <v>1000.0054985319532</v>
      </c>
      <c r="H929" s="1">
        <f t="shared" si="1344"/>
        <v>65.509104639199819</v>
      </c>
      <c r="I929" s="1">
        <f t="shared" si="1345"/>
        <v>235.93968467318518</v>
      </c>
      <c r="J929" s="3">
        <f t="shared" si="1346"/>
        <v>31.622776601683793</v>
      </c>
      <c r="K929" s="47">
        <f t="shared" si="1347"/>
        <v>0.32325536889228235</v>
      </c>
      <c r="L929" s="3">
        <f t="shared" si="1348"/>
        <v>3</v>
      </c>
      <c r="M929" s="47">
        <f t="shared" si="1349"/>
        <v>0.41179027884367175</v>
      </c>
      <c r="N929" s="47">
        <f t="shared" si="1350"/>
        <v>242.9363148363089</v>
      </c>
      <c r="O929" s="1">
        <f t="shared" si="1351"/>
        <v>0.99766985490830884</v>
      </c>
      <c r="P929" s="1">
        <f t="shared" si="1352"/>
        <v>7.2852618289682649</v>
      </c>
      <c r="Q929" s="1">
        <f t="shared" si="1353"/>
        <v>75</v>
      </c>
      <c r="R929" s="1">
        <f t="shared" si="1354"/>
        <v>74.871842019956986</v>
      </c>
      <c r="S929" s="47">
        <f t="shared" si="1355"/>
        <v>173.9965714842356</v>
      </c>
      <c r="T929" s="1">
        <f t="shared" si="1356"/>
        <v>66.029057623159119</v>
      </c>
      <c r="U929" s="47">
        <f t="shared" si="1357"/>
        <v>65.921803240463348</v>
      </c>
      <c r="V929" s="47">
        <f t="shared" si="1358"/>
        <v>145.61633118327282</v>
      </c>
      <c r="W929" s="2">
        <f t="shared" si="1282"/>
        <v>1000.0154985319532</v>
      </c>
      <c r="X929" s="1">
        <f t="shared" si="1359"/>
        <v>91.548821174019594</v>
      </c>
      <c r="Y929" s="1">
        <f t="shared" si="1360"/>
        <v>18.454000548424659</v>
      </c>
      <c r="Z929" s="2">
        <f t="shared" si="1361"/>
        <v>3.6829869708450658</v>
      </c>
      <c r="AA929" s="3">
        <f t="shared" si="1362"/>
        <v>1000</v>
      </c>
      <c r="AB929" s="1">
        <f t="shared" si="1363"/>
        <v>-1.5498291752402693E-5</v>
      </c>
      <c r="AC929" s="1">
        <f t="shared" si="1366"/>
        <v>0</v>
      </c>
      <c r="AD929" s="64">
        <f t="shared" si="1364"/>
        <v>0</v>
      </c>
      <c r="AE929" s="1">
        <f t="shared" si="1365"/>
        <v>18.939873178097276</v>
      </c>
    </row>
    <row r="930" spans="1:31" ht="13.5" customHeight="1">
      <c r="K930" s="47"/>
      <c r="L930" s="47"/>
      <c r="M930" s="47"/>
      <c r="N930" s="47">
        <f>SUM(N920:N929)</f>
        <v>6469.9365890486379</v>
      </c>
      <c r="O930" s="2" t="s">
        <v>46</v>
      </c>
      <c r="P930" s="2"/>
      <c r="Q930" s="2"/>
      <c r="R930" s="49">
        <f>R910</f>
        <v>75</v>
      </c>
      <c r="S930" s="50" t="s">
        <v>45</v>
      </c>
      <c r="T930" s="2"/>
      <c r="U930" s="11">
        <f>U929</f>
        <v>65.921803240463348</v>
      </c>
      <c r="V930" s="47"/>
      <c r="W930" s="2"/>
      <c r="Y930" s="1">
        <f>N931</f>
        <v>18.939873178097276</v>
      </c>
      <c r="AE930" s="1">
        <f t="shared" si="1365"/>
        <v>18.939873178097276</v>
      </c>
    </row>
    <row r="931" spans="1:31" ht="13.5" customHeight="1">
      <c r="K931" s="47"/>
      <c r="L931" s="2" t="s">
        <v>44</v>
      </c>
      <c r="M931" s="2"/>
      <c r="N931" s="47">
        <f>N930*2/1000+Y931</f>
        <v>18.939873178097276</v>
      </c>
      <c r="O931" s="2" t="s">
        <v>1</v>
      </c>
      <c r="P931" s="1">
        <f>SUM(P920:P929)</f>
        <v>63.781129517349221</v>
      </c>
      <c r="Q931" s="1" t="s">
        <v>43</v>
      </c>
      <c r="S931" s="47"/>
      <c r="U931" s="47"/>
      <c r="V931" s="47"/>
      <c r="W931" s="2"/>
      <c r="Y931" s="3">
        <f>Y911</f>
        <v>6</v>
      </c>
      <c r="Z931" s="3" t="s">
        <v>42</v>
      </c>
      <c r="AE931" s="1">
        <f>N931</f>
        <v>18.939873178097276</v>
      </c>
    </row>
    <row r="932" spans="1:31" ht="13.5" customHeight="1">
      <c r="L932" s="60" t="s">
        <v>41</v>
      </c>
      <c r="N932" s="3">
        <f>N912</f>
        <v>15</v>
      </c>
      <c r="O932" s="1" t="s">
        <v>1</v>
      </c>
    </row>
    <row r="935" spans="1:31" ht="13.5" customHeight="1" thickBot="1"/>
    <row r="936" spans="1:31" ht="13.5" customHeight="1">
      <c r="B936" s="14" t="s">
        <v>40</v>
      </c>
      <c r="C936" s="15"/>
      <c r="D936" s="15"/>
      <c r="E936" s="15"/>
      <c r="F936" s="15"/>
      <c r="G936" s="15"/>
      <c r="H936" s="15" t="s">
        <v>39</v>
      </c>
      <c r="I936" s="16"/>
      <c r="J936" s="14" t="s">
        <v>38</v>
      </c>
      <c r="K936" s="15"/>
      <c r="L936" s="15"/>
      <c r="M936" s="15"/>
      <c r="N936" s="15" t="s">
        <v>37</v>
      </c>
      <c r="O936" s="15"/>
      <c r="P936" s="15"/>
      <c r="Q936" s="15"/>
      <c r="R936" s="15"/>
      <c r="S936" s="16"/>
      <c r="T936" s="14" t="s">
        <v>36</v>
      </c>
      <c r="U936" s="15"/>
      <c r="V936" s="16"/>
      <c r="W936" s="14"/>
      <c r="X936" s="15"/>
      <c r="Y936" s="15"/>
      <c r="Z936" s="16"/>
    </row>
    <row r="937" spans="1:31" ht="13.5" customHeight="1">
      <c r="B937" s="17" t="s">
        <v>35</v>
      </c>
      <c r="C937" s="18" t="s">
        <v>22</v>
      </c>
      <c r="D937" s="18"/>
      <c r="E937" s="18" t="s">
        <v>34</v>
      </c>
      <c r="F937" s="18" t="s">
        <v>33</v>
      </c>
      <c r="G937" s="18" t="s">
        <v>7</v>
      </c>
      <c r="H937" s="18" t="s">
        <v>32</v>
      </c>
      <c r="I937" s="19" t="s">
        <v>22</v>
      </c>
      <c r="J937" s="17" t="s">
        <v>31</v>
      </c>
      <c r="K937" s="18"/>
      <c r="L937" s="18" t="s">
        <v>30</v>
      </c>
      <c r="M937" s="18"/>
      <c r="N937" s="18" t="s">
        <v>29</v>
      </c>
      <c r="O937" s="18"/>
      <c r="P937" s="18" t="s">
        <v>28</v>
      </c>
      <c r="Q937" s="20" t="s">
        <v>27</v>
      </c>
      <c r="R937" s="21" t="s">
        <v>26</v>
      </c>
      <c r="S937" s="22" t="s">
        <v>7</v>
      </c>
      <c r="T937" s="23" t="s">
        <v>25</v>
      </c>
      <c r="U937" s="24" t="s">
        <v>24</v>
      </c>
      <c r="V937" s="25" t="s">
        <v>7</v>
      </c>
      <c r="W937" s="26" t="s">
        <v>23</v>
      </c>
      <c r="X937" s="4" t="s">
        <v>22</v>
      </c>
      <c r="Y937" s="4" t="s">
        <v>21</v>
      </c>
      <c r="Z937" s="5" t="s">
        <v>20</v>
      </c>
    </row>
    <row r="938" spans="1:31" ht="13.5" customHeight="1">
      <c r="B938" s="54" t="s">
        <v>3</v>
      </c>
      <c r="C938" s="28" t="s">
        <v>17</v>
      </c>
      <c r="D938" s="20" t="s">
        <v>13</v>
      </c>
      <c r="E938" s="20" t="s">
        <v>19</v>
      </c>
      <c r="F938" s="28" t="s">
        <v>19</v>
      </c>
      <c r="G938" s="20" t="s">
        <v>3</v>
      </c>
      <c r="H938" s="20" t="s">
        <v>19</v>
      </c>
      <c r="I938" s="29" t="s">
        <v>12</v>
      </c>
      <c r="J938" s="55" t="s">
        <v>18</v>
      </c>
      <c r="K938" s="20" t="s">
        <v>17</v>
      </c>
      <c r="L938" s="56" t="s">
        <v>16</v>
      </c>
      <c r="M938" s="20" t="s">
        <v>15</v>
      </c>
      <c r="N938" s="20" t="s">
        <v>14</v>
      </c>
      <c r="O938" s="20" t="s">
        <v>13</v>
      </c>
      <c r="P938" s="20" t="s">
        <v>12</v>
      </c>
      <c r="Q938" s="20" t="s">
        <v>11</v>
      </c>
      <c r="R938" s="21" t="s">
        <v>11</v>
      </c>
      <c r="S938" s="22" t="s">
        <v>10</v>
      </c>
      <c r="T938" s="23" t="s">
        <v>9</v>
      </c>
      <c r="U938" s="24" t="s">
        <v>9</v>
      </c>
      <c r="V938" s="33" t="s">
        <v>8</v>
      </c>
      <c r="W938" s="34" t="s">
        <v>7</v>
      </c>
      <c r="X938" s="4" t="s">
        <v>6</v>
      </c>
      <c r="Y938" s="6" t="s">
        <v>5</v>
      </c>
      <c r="Z938" s="7" t="s">
        <v>5</v>
      </c>
    </row>
    <row r="939" spans="1:31" ht="13.5" customHeight="1" thickBot="1">
      <c r="B939" s="57"/>
      <c r="C939" s="3">
        <f>C919</f>
        <v>1.05</v>
      </c>
      <c r="D939" s="37"/>
      <c r="E939" s="38"/>
      <c r="F939" s="38"/>
      <c r="G939" s="37"/>
      <c r="H939" s="37"/>
      <c r="I939" s="39"/>
      <c r="J939" s="58" t="s">
        <v>4</v>
      </c>
      <c r="K939" s="44"/>
      <c r="L939" s="59"/>
      <c r="M939" s="37"/>
      <c r="N939" s="37"/>
      <c r="O939" s="37"/>
      <c r="P939" s="37"/>
      <c r="Q939" s="42"/>
      <c r="R939" s="42"/>
      <c r="S939" s="52" t="s">
        <v>3</v>
      </c>
      <c r="T939" s="43"/>
      <c r="U939" s="44"/>
      <c r="V939" s="39" t="s">
        <v>3</v>
      </c>
      <c r="W939" s="45" t="s">
        <v>3</v>
      </c>
      <c r="X939" s="8" t="s">
        <v>2</v>
      </c>
      <c r="Y939" s="9" t="s">
        <v>1</v>
      </c>
      <c r="Z939" s="13" t="s">
        <v>0</v>
      </c>
    </row>
    <row r="940" spans="1:31" ht="13.5" customHeight="1">
      <c r="A940" s="1">
        <v>1</v>
      </c>
      <c r="B940" s="3">
        <f t="shared" ref="B940:B949" si="1367">B920</f>
        <v>1000</v>
      </c>
      <c r="C940" s="1">
        <f t="shared" ref="C940:C989" si="1368">IF(B940&lt;1,0.000001,C920*(1+AB920))</f>
        <v>4.5204936715577876E-2</v>
      </c>
      <c r="D940" s="1">
        <f t="shared" ref="D940:D989" si="1369">EXP((1+(E940-F940-55)/55*$B$18)*B940/C940/-210000)</f>
        <v>0.90117407774617686</v>
      </c>
      <c r="E940" s="1">
        <f t="shared" ref="E940:E949" si="1370">R940</f>
        <v>73.236432889998298</v>
      </c>
      <c r="F940" s="1">
        <f t="shared" ref="F940:F989" si="1371">F920</f>
        <v>20</v>
      </c>
      <c r="G940" s="1">
        <f t="shared" ref="G940:G949" si="1372">(E940-F940)*C940*(1-D940)*4200</f>
        <v>998.88382300932096</v>
      </c>
      <c r="H940" s="1">
        <f t="shared" ref="H940:H949" si="1373">(E940-F940)*D940+F940</f>
        <v>67.975293312140451</v>
      </c>
      <c r="I940" s="1">
        <f t="shared" ref="I940:I949" si="1374">B940*0.001*6/C940</f>
        <v>132.72886626854554</v>
      </c>
      <c r="J940" s="3">
        <f t="shared" ref="J940:J949" si="1375">J920</f>
        <v>10</v>
      </c>
      <c r="K940" s="47">
        <f t="shared" ref="K940:K949" si="1376">K939+C940</f>
        <v>4.5204936715577876E-2</v>
      </c>
      <c r="L940" s="3">
        <f t="shared" ref="L940:L949" si="1377">L920</f>
        <v>3</v>
      </c>
      <c r="M940" s="47">
        <f t="shared" ref="M940:M949" si="1378">K940/(J940*J940*3.14/4000)</f>
        <v>0.57585906644048246</v>
      </c>
      <c r="N940" s="47">
        <f t="shared" ref="N940:N949" si="1379">L940*26400/J940^1.27*M940^1.83*$N$69</f>
        <v>1936.48374924256</v>
      </c>
      <c r="O940" s="1">
        <f t="shared" ref="O940:O949" si="1380">EXP(-(J940+2)*3.14/1000*$O$66/(M940*J940*J940*3.14/4000*4200)*L940)</f>
        <v>0.9940638512531359</v>
      </c>
      <c r="P940" s="1">
        <f t="shared" ref="P940:P949" si="1381">L940/M940</f>
        <v>5.2096080010404124</v>
      </c>
      <c r="Q940" s="1">
        <f t="shared" ref="Q940:Q949" si="1382">R941</f>
        <v>73.554339414804616</v>
      </c>
      <c r="R940" s="1">
        <f t="shared" ref="R940:R949" si="1383">(Q940-F940)*O940+F940</f>
        <v>73.236432889998298</v>
      </c>
      <c r="S940" s="47">
        <f t="shared" ref="S940:S949" si="1384">K940*(1-O940)*4200*(Q940-F940)</f>
        <v>60.35796620842509</v>
      </c>
      <c r="T940" s="1">
        <f t="shared" ref="T940:T949" si="1385">(U939*K939+H940*C940)/K940</f>
        <v>67.975293312140451</v>
      </c>
      <c r="U940" s="47">
        <f t="shared" ref="U940:U949" si="1386">(T940-F940)*O940+F940</f>
        <v>67.690504834865152</v>
      </c>
      <c r="V940" s="47">
        <f t="shared" ref="V940:V949" si="1387">K940*(1-O940)*4200*(T940-F940)</f>
        <v>54.07014938873408</v>
      </c>
      <c r="W940" s="2">
        <f t="shared" ref="W940:W989" si="1388">G940+(S940+V940)*$AB$22+0.01</f>
        <v>998.89382300932095</v>
      </c>
      <c r="X940" s="1">
        <f t="shared" ref="X940:X949" si="1389">C940*3600</f>
        <v>162.73777217608034</v>
      </c>
      <c r="Y940" s="1">
        <f t="shared" ref="Y940:Y949" si="1390">Y941-2*N940/1000</f>
        <v>5.999999999999992</v>
      </c>
      <c r="Z940" s="2">
        <f t="shared" ref="Z940:Z949" si="1391">-1.1-1.8*LOG10(Y940/X940/X940)</f>
        <v>5.4606858682009864</v>
      </c>
      <c r="AA940" s="3">
        <f t="shared" ref="AA940:AA949" si="1392">AA920</f>
        <v>1000</v>
      </c>
      <c r="AB940" s="1">
        <f t="shared" ref="AB940" si="1393">((AA940/W940)-1)*AB$23+AC940+AD940</f>
        <v>1.1074019732613127E-3</v>
      </c>
      <c r="AC940" s="1">
        <f>((N952/N951)-1)*AB$24</f>
        <v>0</v>
      </c>
      <c r="AD940" s="64">
        <f t="shared" ref="AD940" si="1394">(AC$21-(X940/1000/SQRT(Y940/104))*1000/B940)*AB$21</f>
        <v>0</v>
      </c>
      <c r="AE940" s="1">
        <f t="shared" ref="AE940:AE950" si="1395">AE941</f>
        <v>18.959913847283694</v>
      </c>
    </row>
    <row r="941" spans="1:31" ht="13.5" customHeight="1">
      <c r="A941" s="1">
        <v>2</v>
      </c>
      <c r="B941" s="3">
        <f t="shared" si="1367"/>
        <v>1000</v>
      </c>
      <c r="C941" s="1">
        <f t="shared" si="1368"/>
        <v>3.9364538278156787E-2</v>
      </c>
      <c r="D941" s="1">
        <f t="shared" si="1369"/>
        <v>0.88713231356987676</v>
      </c>
      <c r="E941" s="1">
        <f t="shared" si="1370"/>
        <v>73.554339414804616</v>
      </c>
      <c r="F941" s="1">
        <f t="shared" si="1371"/>
        <v>20</v>
      </c>
      <c r="G941" s="1">
        <f t="shared" si="1372"/>
        <v>999.3525888465075</v>
      </c>
      <c r="H941" s="1">
        <f t="shared" si="1373"/>
        <v>67.50978502676206</v>
      </c>
      <c r="I941" s="1">
        <f t="shared" si="1374"/>
        <v>152.42144992538562</v>
      </c>
      <c r="J941" s="3">
        <f t="shared" si="1375"/>
        <v>14.142135623730951</v>
      </c>
      <c r="K941" s="47">
        <f t="shared" si="1376"/>
        <v>8.4569474993734656E-2</v>
      </c>
      <c r="L941" s="3">
        <f t="shared" si="1377"/>
        <v>3</v>
      </c>
      <c r="M941" s="47">
        <f t="shared" si="1378"/>
        <v>0.53865907639321431</v>
      </c>
      <c r="N941" s="47">
        <f t="shared" si="1379"/>
        <v>1103.5340412218243</v>
      </c>
      <c r="O941" s="1">
        <f t="shared" si="1380"/>
        <v>0.99572811369013681</v>
      </c>
      <c r="P941" s="1">
        <f t="shared" si="1381"/>
        <v>5.5693854080907341</v>
      </c>
      <c r="Q941" s="1">
        <f t="shared" si="1382"/>
        <v>73.784098970886674</v>
      </c>
      <c r="R941" s="1">
        <f t="shared" si="1383"/>
        <v>73.554339414804616</v>
      </c>
      <c r="S941" s="47">
        <f t="shared" si="1384"/>
        <v>81.608709137143293</v>
      </c>
      <c r="T941" s="1">
        <f t="shared" si="1385"/>
        <v>67.606385218369709</v>
      </c>
      <c r="U941" s="47">
        <f t="shared" si="1386"/>
        <v>67.40301615309329</v>
      </c>
      <c r="V941" s="47">
        <f t="shared" si="1387"/>
        <v>72.235023337654752</v>
      </c>
      <c r="W941" s="2">
        <f t="shared" si="1388"/>
        <v>999.36258884650749</v>
      </c>
      <c r="X941" s="1">
        <f t="shared" si="1389"/>
        <v>141.71233780136444</v>
      </c>
      <c r="Y941" s="1">
        <f t="shared" si="1390"/>
        <v>9.8729674984851119</v>
      </c>
      <c r="Z941" s="2">
        <f t="shared" si="1391"/>
        <v>4.8550617120467301</v>
      </c>
      <c r="AA941" s="3">
        <f t="shared" si="1392"/>
        <v>1000</v>
      </c>
      <c r="AB941" s="1">
        <f t="shared" si="1363"/>
        <v>6.3781770561188722E-4</v>
      </c>
      <c r="AC941" s="1">
        <f t="shared" ref="AC941:AC949" si="1396">AC940</f>
        <v>0</v>
      </c>
      <c r="AD941" s="64">
        <f t="shared" si="1364"/>
        <v>0</v>
      </c>
      <c r="AE941" s="1">
        <f t="shared" si="1395"/>
        <v>18.959913847283694</v>
      </c>
    </row>
    <row r="942" spans="1:31" ht="13.5" customHeight="1">
      <c r="A942" s="1">
        <v>3</v>
      </c>
      <c r="B942" s="3">
        <f t="shared" si="1367"/>
        <v>1000</v>
      </c>
      <c r="C942" s="1">
        <f t="shared" si="1368"/>
        <v>3.5960135535552856E-2</v>
      </c>
      <c r="D942" s="1">
        <f t="shared" si="1369"/>
        <v>0.87694647175571439</v>
      </c>
      <c r="E942" s="1">
        <f t="shared" si="1370"/>
        <v>73.784098970886674</v>
      </c>
      <c r="F942" s="1">
        <f t="shared" si="1371"/>
        <v>20</v>
      </c>
      <c r="G942" s="1">
        <f t="shared" si="1372"/>
        <v>999.58234822942495</v>
      </c>
      <c r="H942" s="1">
        <f t="shared" si="1373"/>
        <v>67.165775829079223</v>
      </c>
      <c r="I942" s="1">
        <f t="shared" si="1374"/>
        <v>166.85142896827946</v>
      </c>
      <c r="J942" s="3">
        <f t="shared" si="1375"/>
        <v>17.320508075688775</v>
      </c>
      <c r="K942" s="47">
        <f t="shared" si="1376"/>
        <v>0.12052961052928751</v>
      </c>
      <c r="L942" s="3">
        <f t="shared" si="1377"/>
        <v>3</v>
      </c>
      <c r="M942" s="47">
        <f t="shared" si="1378"/>
        <v>0.51180301710950094</v>
      </c>
      <c r="N942" s="47">
        <f t="shared" si="1379"/>
        <v>776.82178846212139</v>
      </c>
      <c r="O942" s="1">
        <f t="shared" si="1380"/>
        <v>0.99641122738495502</v>
      </c>
      <c r="P942" s="1">
        <f t="shared" si="1381"/>
        <v>5.8616301579131687</v>
      </c>
      <c r="Q942" s="1">
        <f t="shared" si="1382"/>
        <v>73.977813068246022</v>
      </c>
      <c r="R942" s="1">
        <f t="shared" si="1383"/>
        <v>73.784098970886674</v>
      </c>
      <c r="S942" s="47">
        <f t="shared" si="1384"/>
        <v>98.062795776764787</v>
      </c>
      <c r="T942" s="1">
        <f t="shared" si="1385"/>
        <v>67.332235253955062</v>
      </c>
      <c r="U942" s="47">
        <f t="shared" si="1386"/>
        <v>67.162370624266799</v>
      </c>
      <c r="V942" s="47">
        <f t="shared" si="1387"/>
        <v>85.98961416791623</v>
      </c>
      <c r="W942" s="2">
        <f t="shared" si="1388"/>
        <v>999.59234822942494</v>
      </c>
      <c r="X942" s="1">
        <f t="shared" si="1389"/>
        <v>129.45648792799028</v>
      </c>
      <c r="Y942" s="1">
        <f t="shared" si="1390"/>
        <v>12.08003558092876</v>
      </c>
      <c r="Z942" s="2">
        <f t="shared" si="1391"/>
        <v>4.5559229703035236</v>
      </c>
      <c r="AA942" s="3">
        <f t="shared" si="1392"/>
        <v>1000</v>
      </c>
      <c r="AB942" s="1">
        <f t="shared" si="1363"/>
        <v>4.0781801831224485E-4</v>
      </c>
      <c r="AC942" s="1">
        <f t="shared" si="1396"/>
        <v>0</v>
      </c>
      <c r="AD942" s="64">
        <f t="shared" si="1364"/>
        <v>0</v>
      </c>
      <c r="AE942" s="1">
        <f t="shared" si="1395"/>
        <v>18.959913847283694</v>
      </c>
    </row>
    <row r="943" spans="1:31" ht="13.5" customHeight="1">
      <c r="A943" s="1">
        <v>4</v>
      </c>
      <c r="B943" s="3">
        <f t="shared" si="1367"/>
        <v>1000</v>
      </c>
      <c r="C943" s="1">
        <f t="shared" si="1368"/>
        <v>3.3501288928707088E-2</v>
      </c>
      <c r="D943" s="1">
        <f t="shared" si="1369"/>
        <v>0.86837026024758412</v>
      </c>
      <c r="E943" s="1">
        <f t="shared" si="1370"/>
        <v>73.977813068246022</v>
      </c>
      <c r="F943" s="1">
        <f t="shared" si="1371"/>
        <v>20</v>
      </c>
      <c r="G943" s="1">
        <f t="shared" si="1372"/>
        <v>999.72399134582292</v>
      </c>
      <c r="H943" s="1">
        <f t="shared" si="1373"/>
        <v>66.872727581668244</v>
      </c>
      <c r="I943" s="1">
        <f t="shared" si="1374"/>
        <v>179.09758674564398</v>
      </c>
      <c r="J943" s="3">
        <f t="shared" si="1375"/>
        <v>20</v>
      </c>
      <c r="K943" s="47">
        <f t="shared" si="1376"/>
        <v>0.15403089945799459</v>
      </c>
      <c r="L943" s="3">
        <f t="shared" si="1377"/>
        <v>3</v>
      </c>
      <c r="M943" s="47">
        <f t="shared" si="1378"/>
        <v>0.49054426578979166</v>
      </c>
      <c r="N943" s="47">
        <f t="shared" si="1379"/>
        <v>598.78127725482818</v>
      </c>
      <c r="O943" s="1">
        <f t="shared" si="1380"/>
        <v>0.99680168665974456</v>
      </c>
      <c r="P943" s="1">
        <f t="shared" si="1381"/>
        <v>6.1156560359948475</v>
      </c>
      <c r="Q943" s="1">
        <f t="shared" si="1382"/>
        <v>74.151004949765095</v>
      </c>
      <c r="R943" s="1">
        <f t="shared" si="1383"/>
        <v>73.977813068246022</v>
      </c>
      <c r="S943" s="47">
        <f t="shared" si="1384"/>
        <v>112.04298541466156</v>
      </c>
      <c r="T943" s="1">
        <f t="shared" si="1385"/>
        <v>67.099374074286061</v>
      </c>
      <c r="U943" s="47">
        <f t="shared" si="1386"/>
        <v>66.948735517866595</v>
      </c>
      <c r="V943" s="47">
        <f t="shared" si="1387"/>
        <v>97.452567821048603</v>
      </c>
      <c r="W943" s="2">
        <f t="shared" si="1388"/>
        <v>999.73399134582291</v>
      </c>
      <c r="X943" s="1">
        <f t="shared" si="1389"/>
        <v>120.60464014334552</v>
      </c>
      <c r="Y943" s="1">
        <f t="shared" si="1390"/>
        <v>13.633679157853003</v>
      </c>
      <c r="Z943" s="2">
        <f t="shared" si="1391"/>
        <v>4.3506069367120315</v>
      </c>
      <c r="AA943" s="3">
        <f t="shared" si="1392"/>
        <v>1000</v>
      </c>
      <c r="AB943" s="1">
        <f t="shared" si="1363"/>
        <v>2.6607943360912323E-4</v>
      </c>
      <c r="AC943" s="1">
        <f t="shared" si="1396"/>
        <v>0</v>
      </c>
      <c r="AD943" s="64">
        <f t="shared" si="1364"/>
        <v>0</v>
      </c>
      <c r="AE943" s="1">
        <f t="shared" si="1395"/>
        <v>18.959913847283694</v>
      </c>
    </row>
    <row r="944" spans="1:31" ht="13.5" customHeight="1">
      <c r="A944" s="1">
        <v>5</v>
      </c>
      <c r="B944" s="3">
        <f t="shared" si="1367"/>
        <v>1000</v>
      </c>
      <c r="C944" s="1">
        <f t="shared" si="1368"/>
        <v>3.1564626869557001E-2</v>
      </c>
      <c r="D944" s="1">
        <f t="shared" si="1369"/>
        <v>0.86072765259358797</v>
      </c>
      <c r="E944" s="1">
        <f t="shared" si="1370"/>
        <v>74.151004949765095</v>
      </c>
      <c r="F944" s="1">
        <f t="shared" si="1371"/>
        <v>20</v>
      </c>
      <c r="G944" s="1">
        <f t="shared" si="1372"/>
        <v>999.81895634950911</v>
      </c>
      <c r="H944" s="1">
        <f t="shared" si="1373"/>
        <v>66.609267375995074</v>
      </c>
      <c r="I944" s="1">
        <f t="shared" si="1374"/>
        <v>190.08620075869783</v>
      </c>
      <c r="J944" s="3">
        <f t="shared" si="1375"/>
        <v>22.360679774997898</v>
      </c>
      <c r="K944" s="47">
        <f t="shared" si="1376"/>
        <v>0.18559552632755158</v>
      </c>
      <c r="L944" s="3">
        <f t="shared" si="1377"/>
        <v>3</v>
      </c>
      <c r="M944" s="47">
        <f t="shared" si="1378"/>
        <v>0.47285484414662815</v>
      </c>
      <c r="N944" s="47">
        <f t="shared" si="1379"/>
        <v>485.89361666562127</v>
      </c>
      <c r="O944" s="1">
        <f t="shared" si="1380"/>
        <v>0.99706042592780042</v>
      </c>
      <c r="P944" s="1">
        <f t="shared" si="1381"/>
        <v>6.344441718502785</v>
      </c>
      <c r="Q944" s="1">
        <f t="shared" si="1382"/>
        <v>74.310655143469006</v>
      </c>
      <c r="R944" s="1">
        <f t="shared" si="1383"/>
        <v>74.151004949765095</v>
      </c>
      <c r="S944" s="47">
        <f t="shared" si="1384"/>
        <v>124.44751926084881</v>
      </c>
      <c r="T944" s="1">
        <f t="shared" si="1385"/>
        <v>66.891001447200665</v>
      </c>
      <c r="U944" s="47">
        <f t="shared" si="1386"/>
        <v>66.753161875127006</v>
      </c>
      <c r="V944" s="47">
        <f t="shared" si="1387"/>
        <v>107.44611329665987</v>
      </c>
      <c r="W944" s="2">
        <f t="shared" si="1388"/>
        <v>999.8289563495091</v>
      </c>
      <c r="X944" s="1">
        <f t="shared" si="1389"/>
        <v>113.6326567304052</v>
      </c>
      <c r="Y944" s="1">
        <f t="shared" si="1390"/>
        <v>14.83124171236266</v>
      </c>
      <c r="Z944" s="2">
        <f t="shared" si="1391"/>
        <v>4.1916918549671589</v>
      </c>
      <c r="AA944" s="3">
        <f t="shared" si="1392"/>
        <v>1000</v>
      </c>
      <c r="AB944" s="1">
        <f t="shared" si="1363"/>
        <v>1.7107291142615111E-4</v>
      </c>
      <c r="AC944" s="1">
        <f t="shared" si="1396"/>
        <v>0</v>
      </c>
      <c r="AD944" s="64">
        <f t="shared" si="1364"/>
        <v>0</v>
      </c>
      <c r="AE944" s="1">
        <f t="shared" si="1395"/>
        <v>18.959913847283694</v>
      </c>
    </row>
    <row r="945" spans="1:31" ht="13.5" customHeight="1">
      <c r="A945" s="1">
        <v>6</v>
      </c>
      <c r="B945" s="3">
        <f t="shared" si="1367"/>
        <v>1000</v>
      </c>
      <c r="C945" s="1">
        <f t="shared" si="1368"/>
        <v>2.9964666914927003E-2</v>
      </c>
      <c r="D945" s="1">
        <f t="shared" si="1369"/>
        <v>0.85371279805072797</v>
      </c>
      <c r="E945" s="1">
        <f t="shared" si="1370"/>
        <v>74.310655143469006</v>
      </c>
      <c r="F945" s="1">
        <f t="shared" si="1371"/>
        <v>20</v>
      </c>
      <c r="G945" s="1">
        <f t="shared" si="1372"/>
        <v>999.88515304185864</v>
      </c>
      <c r="H945" s="1">
        <f t="shared" si="1373"/>
        <v>66.365701366499081</v>
      </c>
      <c r="I945" s="1">
        <f t="shared" si="1374"/>
        <v>200.23583165581857</v>
      </c>
      <c r="J945" s="3">
        <f t="shared" si="1375"/>
        <v>24.494897427831781</v>
      </c>
      <c r="K945" s="47">
        <f t="shared" si="1376"/>
        <v>0.21556019324247858</v>
      </c>
      <c r="L945" s="3">
        <f t="shared" si="1377"/>
        <v>3</v>
      </c>
      <c r="M945" s="47">
        <f t="shared" si="1378"/>
        <v>0.457664953805687</v>
      </c>
      <c r="N945" s="47">
        <f t="shared" si="1379"/>
        <v>407.67244979737933</v>
      </c>
      <c r="O945" s="1">
        <f t="shared" si="1380"/>
        <v>0.99724705959230542</v>
      </c>
      <c r="P945" s="1">
        <f t="shared" si="1381"/>
        <v>6.5550136077793804</v>
      </c>
      <c r="Q945" s="1">
        <f t="shared" si="1382"/>
        <v>74.460581879952898</v>
      </c>
      <c r="R945" s="1">
        <f t="shared" si="1383"/>
        <v>74.310655143469006</v>
      </c>
      <c r="S945" s="47">
        <f t="shared" si="1384"/>
        <v>135.73659241245474</v>
      </c>
      <c r="T945" s="1">
        <f t="shared" si="1385"/>
        <v>66.699301628904905</v>
      </c>
      <c r="U945" s="47">
        <f t="shared" si="1386"/>
        <v>66.570741234439566</v>
      </c>
      <c r="V945" s="47">
        <f t="shared" si="1387"/>
        <v>116.39251459195813</v>
      </c>
      <c r="W945" s="2">
        <f t="shared" si="1388"/>
        <v>999.89515304185863</v>
      </c>
      <c r="X945" s="1">
        <f t="shared" si="1389"/>
        <v>107.87280089373721</v>
      </c>
      <c r="Y945" s="1">
        <f t="shared" si="1390"/>
        <v>15.803028945693903</v>
      </c>
      <c r="Z945" s="2">
        <f t="shared" si="1391"/>
        <v>4.0607504348170202</v>
      </c>
      <c r="AA945" s="3">
        <f t="shared" si="1392"/>
        <v>1000</v>
      </c>
      <c r="AB945" s="1">
        <f t="shared" si="1363"/>
        <v>1.048579521787385E-4</v>
      </c>
      <c r="AC945" s="1">
        <f t="shared" si="1396"/>
        <v>0</v>
      </c>
      <c r="AD945" s="64">
        <f t="shared" si="1364"/>
        <v>0</v>
      </c>
      <c r="AE945" s="1">
        <f t="shared" si="1395"/>
        <v>18.959913847283694</v>
      </c>
    </row>
    <row r="946" spans="1:31" ht="13.5" customHeight="1">
      <c r="A946" s="1">
        <v>7</v>
      </c>
      <c r="B946" s="3">
        <f t="shared" si="1367"/>
        <v>1000</v>
      </c>
      <c r="C946" s="1">
        <f t="shared" si="1368"/>
        <v>2.8601901845051549E-2</v>
      </c>
      <c r="D946" s="1">
        <f t="shared" si="1369"/>
        <v>0.847157535798987</v>
      </c>
      <c r="E946" s="1">
        <f t="shared" si="1370"/>
        <v>74.460581879952898</v>
      </c>
      <c r="F946" s="1">
        <f t="shared" si="1371"/>
        <v>20</v>
      </c>
      <c r="G946" s="1">
        <f t="shared" si="1372"/>
        <v>999.93210024884922</v>
      </c>
      <c r="H946" s="1">
        <f t="shared" si="1373"/>
        <v>66.136692343599861</v>
      </c>
      <c r="I946" s="1">
        <f t="shared" si="1374"/>
        <v>209.77626007195278</v>
      </c>
      <c r="J946" s="3">
        <f t="shared" si="1375"/>
        <v>26.457513110645905</v>
      </c>
      <c r="K946" s="47">
        <f t="shared" si="1376"/>
        <v>0.24416209508753012</v>
      </c>
      <c r="L946" s="3">
        <f t="shared" si="1377"/>
        <v>3</v>
      </c>
      <c r="M946" s="47">
        <f t="shared" si="1378"/>
        <v>0.44433502290724319</v>
      </c>
      <c r="N946" s="47">
        <f t="shared" si="1379"/>
        <v>350.19362718369217</v>
      </c>
      <c r="O946" s="1">
        <f t="shared" si="1380"/>
        <v>0.99738932508832001</v>
      </c>
      <c r="P946" s="1">
        <f t="shared" si="1381"/>
        <v>6.7516622488393461</v>
      </c>
      <c r="Q946" s="1">
        <f t="shared" si="1382"/>
        <v>74.603132909137912</v>
      </c>
      <c r="R946" s="1">
        <f t="shared" si="1383"/>
        <v>74.460581879952898</v>
      </c>
      <c r="S946" s="47">
        <f t="shared" si="1384"/>
        <v>146.18334335932633</v>
      </c>
      <c r="T946" s="1">
        <f t="shared" si="1385"/>
        <v>66.519895406927731</v>
      </c>
      <c r="U946" s="47">
        <f t="shared" si="1386"/>
        <v>66.398447083094879</v>
      </c>
      <c r="V946" s="47">
        <f t="shared" si="1387"/>
        <v>124.54292420596258</v>
      </c>
      <c r="W946" s="2">
        <f t="shared" si="1388"/>
        <v>999.94210024884921</v>
      </c>
      <c r="X946" s="1">
        <f t="shared" si="1389"/>
        <v>102.96684664218557</v>
      </c>
      <c r="Y946" s="1">
        <f t="shared" si="1390"/>
        <v>16.618373845288662</v>
      </c>
      <c r="Z946" s="2">
        <f t="shared" si="1391"/>
        <v>3.9486513414063587</v>
      </c>
      <c r="AA946" s="3">
        <f t="shared" si="1392"/>
        <v>1000</v>
      </c>
      <c r="AB946" s="1">
        <f t="shared" si="1363"/>
        <v>5.7903103725998051E-5</v>
      </c>
      <c r="AC946" s="1">
        <f t="shared" si="1396"/>
        <v>0</v>
      </c>
      <c r="AD946" s="64">
        <f t="shared" si="1364"/>
        <v>0</v>
      </c>
      <c r="AE946" s="1">
        <f t="shared" si="1395"/>
        <v>18.959913847283694</v>
      </c>
    </row>
    <row r="947" spans="1:31" ht="13.5" customHeight="1">
      <c r="A947" s="1">
        <v>8</v>
      </c>
      <c r="B947" s="3">
        <f t="shared" si="1367"/>
        <v>1000</v>
      </c>
      <c r="C947" s="1">
        <f t="shared" si="1368"/>
        <v>2.7416133522358097E-2</v>
      </c>
      <c r="D947" s="1">
        <f t="shared" si="1369"/>
        <v>0.84095795239583004</v>
      </c>
      <c r="E947" s="1">
        <f t="shared" si="1370"/>
        <v>74.603132909137912</v>
      </c>
      <c r="F947" s="1">
        <f t="shared" si="1371"/>
        <v>20</v>
      </c>
      <c r="G947" s="1">
        <f t="shared" si="1372"/>
        <v>999.96550070850719</v>
      </c>
      <c r="H947" s="1">
        <f t="shared" si="1373"/>
        <v>65.918938845665991</v>
      </c>
      <c r="I947" s="1">
        <f t="shared" si="1374"/>
        <v>218.84924054323517</v>
      </c>
      <c r="J947" s="3">
        <f t="shared" si="1375"/>
        <v>28.284271247461902</v>
      </c>
      <c r="K947" s="47">
        <f t="shared" si="1376"/>
        <v>0.27157822860988823</v>
      </c>
      <c r="L947" s="3">
        <f t="shared" si="1377"/>
        <v>3</v>
      </c>
      <c r="M947" s="47">
        <f t="shared" si="1378"/>
        <v>0.43244940861447162</v>
      </c>
      <c r="N947" s="47">
        <f t="shared" si="1379"/>
        <v>306.15028329718308</v>
      </c>
      <c r="O947" s="1">
        <f t="shared" si="1380"/>
        <v>0.99750206689446552</v>
      </c>
      <c r="P947" s="1">
        <f t="shared" si="1381"/>
        <v>6.9372276623333251</v>
      </c>
      <c r="Q947" s="1">
        <f t="shared" si="1382"/>
        <v>74.73986944120773</v>
      </c>
      <c r="R947" s="1">
        <f t="shared" si="1383"/>
        <v>74.603132909137912</v>
      </c>
      <c r="S947" s="47">
        <f t="shared" si="1384"/>
        <v>155.96559369628875</v>
      </c>
      <c r="T947" s="1">
        <f t="shared" si="1385"/>
        <v>66.35004017680599</v>
      </c>
      <c r="U947" s="47">
        <f t="shared" si="1386"/>
        <v>66.234260877005497</v>
      </c>
      <c r="V947" s="47">
        <f t="shared" si="1387"/>
        <v>132.06117602795086</v>
      </c>
      <c r="W947" s="2">
        <f t="shared" si="1388"/>
        <v>999.97550070850718</v>
      </c>
      <c r="X947" s="1">
        <f t="shared" si="1389"/>
        <v>98.698080680489142</v>
      </c>
      <c r="Y947" s="1">
        <f t="shared" si="1390"/>
        <v>17.318761099656047</v>
      </c>
      <c r="Z947" s="2">
        <f t="shared" si="1391"/>
        <v>3.8501810676390993</v>
      </c>
      <c r="AA947" s="3">
        <f t="shared" si="1392"/>
        <v>1000</v>
      </c>
      <c r="AB947" s="1">
        <f t="shared" si="1363"/>
        <v>2.4499891722706835E-5</v>
      </c>
      <c r="AC947" s="1">
        <f t="shared" si="1396"/>
        <v>0</v>
      </c>
      <c r="AD947" s="64">
        <f t="shared" si="1364"/>
        <v>0</v>
      </c>
      <c r="AE947" s="1">
        <f t="shared" si="1395"/>
        <v>18.959913847283694</v>
      </c>
    </row>
    <row r="948" spans="1:31" ht="13.5" customHeight="1">
      <c r="A948" s="1">
        <v>9</v>
      </c>
      <c r="B948" s="3">
        <f t="shared" si="1367"/>
        <v>1000</v>
      </c>
      <c r="C948" s="1">
        <f t="shared" si="1368"/>
        <v>2.6367906819500124E-2</v>
      </c>
      <c r="D948" s="1">
        <f t="shared" si="1369"/>
        <v>0.83504459882226534</v>
      </c>
      <c r="E948" s="1">
        <f t="shared" si="1370"/>
        <v>74.73986944120773</v>
      </c>
      <c r="F948" s="1">
        <f t="shared" si="1371"/>
        <v>20</v>
      </c>
      <c r="G948" s="1">
        <f t="shared" si="1372"/>
        <v>999.98904726813498</v>
      </c>
      <c r="H948" s="1">
        <f t="shared" si="1373"/>
        <v>65.710232317116493</v>
      </c>
      <c r="I948" s="1">
        <f t="shared" si="1374"/>
        <v>227.54934781409193</v>
      </c>
      <c r="J948" s="3">
        <f t="shared" si="1375"/>
        <v>30</v>
      </c>
      <c r="K948" s="47">
        <f t="shared" si="1376"/>
        <v>0.29794613542938836</v>
      </c>
      <c r="L948" s="3">
        <f t="shared" si="1377"/>
        <v>3</v>
      </c>
      <c r="M948" s="47">
        <f t="shared" si="1378"/>
        <v>0.42172135234166785</v>
      </c>
      <c r="N948" s="47">
        <f t="shared" si="1379"/>
        <v>271.32388798156819</v>
      </c>
      <c r="O948" s="1">
        <f t="shared" si="1380"/>
        <v>0.99759402639262429</v>
      </c>
      <c r="P948" s="1">
        <f t="shared" si="1381"/>
        <v>7.1137019345643111</v>
      </c>
      <c r="Q948" s="1">
        <f t="shared" si="1382"/>
        <v>74.871889759756527</v>
      </c>
      <c r="R948" s="1">
        <f t="shared" si="1383"/>
        <v>74.73986944120773</v>
      </c>
      <c r="S948" s="47">
        <f t="shared" si="1384"/>
        <v>165.20676358104609</v>
      </c>
      <c r="T948" s="1">
        <f t="shared" si="1385"/>
        <v>66.187884923117053</v>
      </c>
      <c r="U948" s="47">
        <f t="shared" si="1386"/>
        <v>66.076758091011527</v>
      </c>
      <c r="V948" s="47">
        <f t="shared" si="1387"/>
        <v>139.06120270707839</v>
      </c>
      <c r="W948" s="2">
        <f t="shared" si="1388"/>
        <v>999.99904726813497</v>
      </c>
      <c r="X948" s="1">
        <f t="shared" si="1389"/>
        <v>94.92446455020044</v>
      </c>
      <c r="Y948" s="1">
        <f t="shared" si="1390"/>
        <v>17.931061666250415</v>
      </c>
      <c r="Z948" s="2">
        <f t="shared" si="1391"/>
        <v>3.7620705543552293</v>
      </c>
      <c r="AA948" s="3">
        <f t="shared" si="1392"/>
        <v>1000</v>
      </c>
      <c r="AB948" s="1">
        <f t="shared" si="1363"/>
        <v>9.5273277267438061E-7</v>
      </c>
      <c r="AC948" s="1">
        <f t="shared" si="1396"/>
        <v>0</v>
      </c>
      <c r="AD948" s="64">
        <f t="shared" si="1364"/>
        <v>0</v>
      </c>
      <c r="AE948" s="1">
        <f t="shared" si="1395"/>
        <v>18.959913847283694</v>
      </c>
    </row>
    <row r="949" spans="1:31" ht="13.5" customHeight="1">
      <c r="A949" s="1">
        <v>10</v>
      </c>
      <c r="B949" s="3">
        <f t="shared" si="1367"/>
        <v>1000</v>
      </c>
      <c r="C949" s="1">
        <f t="shared" si="1368"/>
        <v>2.5429833978799846E-2</v>
      </c>
      <c r="D949" s="1">
        <f t="shared" si="1369"/>
        <v>0.82936836445819451</v>
      </c>
      <c r="E949" s="1">
        <f t="shared" si="1370"/>
        <v>74.871889759756527</v>
      </c>
      <c r="F949" s="1">
        <f t="shared" si="1371"/>
        <v>20</v>
      </c>
      <c r="G949" s="1">
        <f t="shared" si="1372"/>
        <v>1000.0052641514848</v>
      </c>
      <c r="H949" s="1">
        <f t="shared" si="1373"/>
        <v>65.509009464779623</v>
      </c>
      <c r="I949" s="1">
        <f t="shared" si="1374"/>
        <v>235.94334139192711</v>
      </c>
      <c r="J949" s="3">
        <f t="shared" si="1375"/>
        <v>31.622776601683793</v>
      </c>
      <c r="K949" s="47">
        <f t="shared" si="1376"/>
        <v>0.32337596940818819</v>
      </c>
      <c r="L949" s="3">
        <f t="shared" si="1377"/>
        <v>3</v>
      </c>
      <c r="M949" s="47">
        <f t="shared" si="1378"/>
        <v>0.41194391007412506</v>
      </c>
      <c r="N949" s="47">
        <f t="shared" si="1379"/>
        <v>243.10220253507089</v>
      </c>
      <c r="O949" s="1">
        <f t="shared" si="1380"/>
        <v>0.99767072290466419</v>
      </c>
      <c r="P949" s="1">
        <f t="shared" si="1381"/>
        <v>7.2825448480599722</v>
      </c>
      <c r="Q949" s="1">
        <f t="shared" si="1382"/>
        <v>75</v>
      </c>
      <c r="R949" s="1">
        <f t="shared" si="1383"/>
        <v>74.871889759756527</v>
      </c>
      <c r="S949" s="47">
        <f t="shared" si="1384"/>
        <v>173.99664714536121</v>
      </c>
      <c r="T949" s="1">
        <f t="shared" si="1385"/>
        <v>66.032111133065968</v>
      </c>
      <c r="U949" s="47">
        <f t="shared" si="1386"/>
        <v>65.924889590953768</v>
      </c>
      <c r="V949" s="47">
        <f t="shared" si="1387"/>
        <v>145.62605451229334</v>
      </c>
      <c r="W949" s="2">
        <f t="shared" si="1388"/>
        <v>1000.0152641514848</v>
      </c>
      <c r="X949" s="1">
        <f t="shared" si="1389"/>
        <v>91.547402323679449</v>
      </c>
      <c r="Y949" s="1">
        <f t="shared" si="1390"/>
        <v>18.473709442213551</v>
      </c>
      <c r="Z949" s="2">
        <f t="shared" si="1391"/>
        <v>3.6821282965996027</v>
      </c>
      <c r="AA949" s="3">
        <f t="shared" si="1392"/>
        <v>1000</v>
      </c>
      <c r="AB949" s="1">
        <f t="shared" si="1363"/>
        <v>-1.526391849404618E-5</v>
      </c>
      <c r="AC949" s="1">
        <f t="shared" si="1396"/>
        <v>0</v>
      </c>
      <c r="AD949" s="64">
        <f t="shared" si="1364"/>
        <v>0</v>
      </c>
      <c r="AE949" s="1">
        <f t="shared" si="1395"/>
        <v>18.959913847283694</v>
      </c>
    </row>
    <row r="950" spans="1:31" ht="13.5" customHeight="1">
      <c r="K950" s="47"/>
      <c r="L950" s="47"/>
      <c r="M950" s="47"/>
      <c r="N950" s="47">
        <f>SUM(N940:N949)</f>
        <v>6479.9569236418483</v>
      </c>
      <c r="O950" s="2" t="s">
        <v>46</v>
      </c>
      <c r="P950" s="2"/>
      <c r="Q950" s="2"/>
      <c r="R950" s="49">
        <f>R930</f>
        <v>75</v>
      </c>
      <c r="S950" s="50" t="s">
        <v>45</v>
      </c>
      <c r="T950" s="2"/>
      <c r="U950" s="11">
        <f>U949</f>
        <v>65.924889590953768</v>
      </c>
      <c r="V950" s="47"/>
      <c r="W950" s="2"/>
      <c r="Y950" s="1">
        <f>N951</f>
        <v>18.959913847283694</v>
      </c>
      <c r="AE950" s="1">
        <f t="shared" si="1395"/>
        <v>18.959913847283694</v>
      </c>
    </row>
    <row r="951" spans="1:31" ht="13.5" customHeight="1">
      <c r="K951" s="47"/>
      <c r="L951" s="2" t="s">
        <v>44</v>
      </c>
      <c r="M951" s="2"/>
      <c r="N951" s="47">
        <f>N950*2/1000+Y951</f>
        <v>18.959913847283694</v>
      </c>
      <c r="O951" s="2" t="s">
        <v>1</v>
      </c>
      <c r="P951" s="1">
        <f>SUM(P940:P949)</f>
        <v>63.740871623118281</v>
      </c>
      <c r="Q951" s="1" t="s">
        <v>43</v>
      </c>
      <c r="S951" s="47"/>
      <c r="U951" s="47"/>
      <c r="V951" s="47"/>
      <c r="W951" s="2"/>
      <c r="Y951" s="3">
        <f>Y931</f>
        <v>6</v>
      </c>
      <c r="Z951" s="3" t="s">
        <v>42</v>
      </c>
      <c r="AE951" s="1">
        <f>N951</f>
        <v>18.959913847283694</v>
      </c>
    </row>
    <row r="952" spans="1:31" ht="13.5" customHeight="1">
      <c r="L952" s="60" t="s">
        <v>41</v>
      </c>
      <c r="N952" s="3">
        <f>N932</f>
        <v>15</v>
      </c>
      <c r="O952" s="1" t="s">
        <v>1</v>
      </c>
    </row>
    <row r="955" spans="1:31" ht="13.5" customHeight="1" thickBot="1"/>
    <row r="956" spans="1:31" ht="13.5" customHeight="1">
      <c r="B956" s="14" t="s">
        <v>40</v>
      </c>
      <c r="C956" s="15"/>
      <c r="D956" s="15"/>
      <c r="E956" s="15"/>
      <c r="F956" s="15"/>
      <c r="G956" s="15"/>
      <c r="H956" s="15" t="s">
        <v>39</v>
      </c>
      <c r="I956" s="16"/>
      <c r="J956" s="14" t="s">
        <v>38</v>
      </c>
      <c r="K956" s="15"/>
      <c r="L956" s="15"/>
      <c r="M956" s="15"/>
      <c r="N956" s="15" t="s">
        <v>37</v>
      </c>
      <c r="O956" s="15"/>
      <c r="P956" s="15"/>
      <c r="Q956" s="15"/>
      <c r="R956" s="15"/>
      <c r="S956" s="16"/>
      <c r="T956" s="14" t="s">
        <v>36</v>
      </c>
      <c r="U956" s="15"/>
      <c r="V956" s="16"/>
      <c r="W956" s="14"/>
      <c r="X956" s="15"/>
      <c r="Y956" s="15"/>
      <c r="Z956" s="16"/>
    </row>
    <row r="957" spans="1:31" ht="13.5" customHeight="1">
      <c r="B957" s="17" t="s">
        <v>35</v>
      </c>
      <c r="C957" s="18" t="s">
        <v>22</v>
      </c>
      <c r="D957" s="18"/>
      <c r="E957" s="18" t="s">
        <v>34</v>
      </c>
      <c r="F957" s="18" t="s">
        <v>33</v>
      </c>
      <c r="G957" s="18" t="s">
        <v>7</v>
      </c>
      <c r="H957" s="18" t="s">
        <v>32</v>
      </c>
      <c r="I957" s="19" t="s">
        <v>22</v>
      </c>
      <c r="J957" s="17" t="s">
        <v>31</v>
      </c>
      <c r="K957" s="18"/>
      <c r="L957" s="18" t="s">
        <v>30</v>
      </c>
      <c r="M957" s="18"/>
      <c r="N957" s="18" t="s">
        <v>29</v>
      </c>
      <c r="O957" s="18"/>
      <c r="P957" s="18" t="s">
        <v>28</v>
      </c>
      <c r="Q957" s="20" t="s">
        <v>27</v>
      </c>
      <c r="R957" s="21" t="s">
        <v>26</v>
      </c>
      <c r="S957" s="22" t="s">
        <v>7</v>
      </c>
      <c r="T957" s="23" t="s">
        <v>25</v>
      </c>
      <c r="U957" s="24" t="s">
        <v>24</v>
      </c>
      <c r="V957" s="25" t="s">
        <v>7</v>
      </c>
      <c r="W957" s="26" t="s">
        <v>23</v>
      </c>
      <c r="X957" s="4" t="s">
        <v>22</v>
      </c>
      <c r="Y957" s="4" t="s">
        <v>21</v>
      </c>
      <c r="Z957" s="5" t="s">
        <v>20</v>
      </c>
    </row>
    <row r="958" spans="1:31" ht="13.5" customHeight="1">
      <c r="B958" s="54" t="s">
        <v>3</v>
      </c>
      <c r="C958" s="28" t="s">
        <v>17</v>
      </c>
      <c r="D958" s="20" t="s">
        <v>13</v>
      </c>
      <c r="E958" s="20" t="s">
        <v>19</v>
      </c>
      <c r="F958" s="28" t="s">
        <v>19</v>
      </c>
      <c r="G958" s="20" t="s">
        <v>3</v>
      </c>
      <c r="H958" s="20" t="s">
        <v>19</v>
      </c>
      <c r="I958" s="29" t="s">
        <v>12</v>
      </c>
      <c r="J958" s="55" t="s">
        <v>18</v>
      </c>
      <c r="K958" s="20" t="s">
        <v>17</v>
      </c>
      <c r="L958" s="56" t="s">
        <v>16</v>
      </c>
      <c r="M958" s="20" t="s">
        <v>15</v>
      </c>
      <c r="N958" s="20" t="s">
        <v>14</v>
      </c>
      <c r="O958" s="20" t="s">
        <v>13</v>
      </c>
      <c r="P958" s="20" t="s">
        <v>12</v>
      </c>
      <c r="Q958" s="20" t="s">
        <v>11</v>
      </c>
      <c r="R958" s="21" t="s">
        <v>11</v>
      </c>
      <c r="S958" s="22" t="s">
        <v>10</v>
      </c>
      <c r="T958" s="23" t="s">
        <v>9</v>
      </c>
      <c r="U958" s="24" t="s">
        <v>9</v>
      </c>
      <c r="V958" s="33" t="s">
        <v>8</v>
      </c>
      <c r="W958" s="34" t="s">
        <v>7</v>
      </c>
      <c r="X958" s="4" t="s">
        <v>6</v>
      </c>
      <c r="Y958" s="6" t="s">
        <v>5</v>
      </c>
      <c r="Z958" s="7" t="s">
        <v>5</v>
      </c>
    </row>
    <row r="959" spans="1:31" ht="13.5" customHeight="1" thickBot="1">
      <c r="B959" s="57"/>
      <c r="C959" s="3">
        <f>C939</f>
        <v>1.05</v>
      </c>
      <c r="D959" s="37"/>
      <c r="E959" s="38"/>
      <c r="F959" s="38"/>
      <c r="G959" s="37"/>
      <c r="H959" s="37"/>
      <c r="I959" s="39"/>
      <c r="J959" s="58" t="s">
        <v>4</v>
      </c>
      <c r="K959" s="44"/>
      <c r="L959" s="59"/>
      <c r="M959" s="37"/>
      <c r="N959" s="37"/>
      <c r="O959" s="37"/>
      <c r="P959" s="37"/>
      <c r="Q959" s="42"/>
      <c r="R959" s="42"/>
      <c r="S959" s="52" t="s">
        <v>3</v>
      </c>
      <c r="T959" s="43"/>
      <c r="U959" s="44"/>
      <c r="V959" s="39" t="s">
        <v>3</v>
      </c>
      <c r="W959" s="45" t="s">
        <v>3</v>
      </c>
      <c r="X959" s="8" t="s">
        <v>2</v>
      </c>
      <c r="Y959" s="9" t="s">
        <v>1</v>
      </c>
      <c r="Z959" s="13" t="s">
        <v>0</v>
      </c>
    </row>
    <row r="960" spans="1:31" ht="13.5" customHeight="1">
      <c r="A960" s="1">
        <v>1</v>
      </c>
      <c r="B960" s="3">
        <f t="shared" ref="B960:B969" si="1397">B940</f>
        <v>1000</v>
      </c>
      <c r="C960" s="1">
        <f>IF(B960&lt;1,0.000001,C940*(1+AB940))</f>
        <v>4.5254996751697862E-2</v>
      </c>
      <c r="D960" s="1">
        <f t="shared" si="1369"/>
        <v>0.90127704658486441</v>
      </c>
      <c r="E960" s="1">
        <f t="shared" ref="E960:E969" si="1398">R960</f>
        <v>73.2376035068866</v>
      </c>
      <c r="F960" s="1">
        <f>F940</f>
        <v>20</v>
      </c>
      <c r="G960" s="1">
        <f t="shared" ref="G960:G969" si="1399">(E960-F960)*C960*(1-D960)*4200</f>
        <v>998.97004389051517</v>
      </c>
      <c r="H960" s="1">
        <f t="shared" ref="H960:H969" si="1400">(E960-F960)*D960+F960</f>
        <v>67.981830055942766</v>
      </c>
      <c r="I960" s="1">
        <f t="shared" ref="I960:I969" si="1401">B960*0.001*6/C960</f>
        <v>132.58204465068036</v>
      </c>
      <c r="J960" s="3">
        <f t="shared" ref="J960:J969" si="1402">J940</f>
        <v>10</v>
      </c>
      <c r="K960" s="47">
        <f t="shared" ref="K960:K969" si="1403">K959+C960</f>
        <v>4.5254996751697862E-2</v>
      </c>
      <c r="L960" s="3">
        <f t="shared" ref="L960:L969" si="1404">L940</f>
        <v>3</v>
      </c>
      <c r="M960" s="47">
        <f t="shared" ref="M960:M969" si="1405">K960/(J960*J960*3.14/4000)</f>
        <v>0.57649677390697918</v>
      </c>
      <c r="N960" s="47">
        <f t="shared" ref="N960:N969" si="1406">L960*26400/J960^1.27*M960^1.83*$N$69</f>
        <v>1940.4099253034269</v>
      </c>
      <c r="O960" s="1">
        <f t="shared" ref="O960:O969" si="1407">EXP(-(J960+2)*3.14/1000*$O$66/(M960*J960*J960*3.14/4000*4200)*L960)</f>
        <v>0.99407039817751652</v>
      </c>
      <c r="P960" s="1">
        <f t="shared" ref="P960:P969" si="1408">L960/M960</f>
        <v>5.2038452525392032</v>
      </c>
      <c r="Q960" s="1">
        <f t="shared" ref="Q960:Q969" si="1409">R961</f>
        <v>73.555164306763388</v>
      </c>
      <c r="R960" s="1">
        <f t="shared" ref="R960:R969" si="1410">(Q960-F960)*O960+F960</f>
        <v>73.2376035068866</v>
      </c>
      <c r="S960" s="47">
        <f t="shared" ref="S960:S969" si="1411">K960*(1-O960)*4200*(Q960-F960)</f>
        <v>60.359094460940241</v>
      </c>
      <c r="T960" s="1">
        <f t="shared" ref="T960:T969" si="1412">(U959*K959+H960*C960)/K960</f>
        <v>67.981830055942766</v>
      </c>
      <c r="U960" s="47">
        <f t="shared" ref="U960:U969" si="1413">(T960-F960)*O960+F960</f>
        <v>67.697316908996953</v>
      </c>
      <c r="V960" s="47">
        <f t="shared" ref="V960:V969" si="1414">K960*(1-O960)*4200*(T960-F960)</f>
        <v>54.077694471561585</v>
      </c>
      <c r="W960" s="2">
        <f t="shared" si="1388"/>
        <v>998.98004389051516</v>
      </c>
      <c r="X960" s="1">
        <f t="shared" ref="X960:X969" si="1415">C960*3600</f>
        <v>162.91798830611231</v>
      </c>
      <c r="Y960" s="1">
        <f t="shared" ref="Y960:Y969" si="1416">Y961-2*N960/1000</f>
        <v>6.0000000000000071</v>
      </c>
      <c r="Z960" s="2">
        <f t="shared" ref="Z960:Z969" si="1417">-1.1-1.8*LOG10(Y960/X960/X960)</f>
        <v>5.4624162890804282</v>
      </c>
      <c r="AA960" s="3">
        <f t="shared" ref="AA960:AA969" si="1418">AA940</f>
        <v>1000</v>
      </c>
      <c r="AB960" s="1">
        <f t="shared" ref="AB960" si="1419">((AA960/W960)-1)*AB$23+AC960+AD960</f>
        <v>1.0209974821044909E-3</v>
      </c>
      <c r="AC960" s="1">
        <f>((N972/N971)-1)*AB$24</f>
        <v>0</v>
      </c>
      <c r="AD960" s="64">
        <f t="shared" ref="AD960" si="1420">(AC$21-(X960/1000/SQRT(Y960/104))*1000/B960)*AB$21</f>
        <v>0</v>
      </c>
      <c r="AE960" s="1">
        <f t="shared" ref="AE960:AE970" si="1421">AE961</f>
        <v>18.978313907676046</v>
      </c>
    </row>
    <row r="961" spans="1:31" ht="13.5" customHeight="1">
      <c r="A961" s="1">
        <v>2</v>
      </c>
      <c r="B961" s="3">
        <f t="shared" si="1397"/>
        <v>1000</v>
      </c>
      <c r="C961" s="1">
        <f t="shared" si="1368"/>
        <v>3.9389645677643831E-2</v>
      </c>
      <c r="D961" s="1">
        <f t="shared" si="1369"/>
        <v>0.88719942597277768</v>
      </c>
      <c r="E961" s="1">
        <f t="shared" si="1398"/>
        <v>73.555164306763388</v>
      </c>
      <c r="F961" s="1">
        <f t="shared" si="1371"/>
        <v>20</v>
      </c>
      <c r="G961" s="1">
        <f t="shared" si="1399"/>
        <v>999.41078184553157</v>
      </c>
      <c r="H961" s="1">
        <f t="shared" si="1400"/>
        <v>67.514111030838279</v>
      </c>
      <c r="I961" s="1">
        <f t="shared" si="1401"/>
        <v>152.3242947931717</v>
      </c>
      <c r="J961" s="3">
        <f t="shared" si="1402"/>
        <v>14.142135623730951</v>
      </c>
      <c r="K961" s="47">
        <f t="shared" si="1403"/>
        <v>8.4644642429341693E-2</v>
      </c>
      <c r="L961" s="3">
        <f t="shared" si="1404"/>
        <v>3</v>
      </c>
      <c r="M961" s="47">
        <f t="shared" si="1405"/>
        <v>0.53913784986841828</v>
      </c>
      <c r="N961" s="47">
        <f t="shared" si="1406"/>
        <v>1105.3296556287669</v>
      </c>
      <c r="O961" s="1">
        <f t="shared" si="1407"/>
        <v>0.99573189916898719</v>
      </c>
      <c r="P961" s="1">
        <f t="shared" si="1408"/>
        <v>5.5644395969086169</v>
      </c>
      <c r="Q961" s="1">
        <f t="shared" si="1409"/>
        <v>73.784722927385559</v>
      </c>
      <c r="R961" s="1">
        <f t="shared" si="1410"/>
        <v>73.555164306763388</v>
      </c>
      <c r="S961" s="47">
        <f t="shared" si="1411"/>
        <v>81.609810908372552</v>
      </c>
      <c r="T961" s="1">
        <f t="shared" si="1412"/>
        <v>67.61206148798486</v>
      </c>
      <c r="U961" s="47">
        <f t="shared" si="1413"/>
        <v>67.408848408781751</v>
      </c>
      <c r="V961" s="47">
        <f t="shared" si="1414"/>
        <v>72.24377338967038</v>
      </c>
      <c r="W961" s="2">
        <f t="shared" si="1388"/>
        <v>999.42078184553156</v>
      </c>
      <c r="X961" s="1">
        <f t="shared" si="1415"/>
        <v>141.80272443951779</v>
      </c>
      <c r="Y961" s="1">
        <f t="shared" si="1416"/>
        <v>9.8808198506068603</v>
      </c>
      <c r="Z961" s="2">
        <f t="shared" si="1417"/>
        <v>4.8554371037418029</v>
      </c>
      <c r="AA961" s="3">
        <f t="shared" si="1418"/>
        <v>1000</v>
      </c>
      <c r="AB961" s="1">
        <f t="shared" si="1363"/>
        <v>5.7955384257546427E-4</v>
      </c>
      <c r="AC961" s="1">
        <f t="shared" ref="AC961:AC969" si="1422">AC960</f>
        <v>0</v>
      </c>
      <c r="AD961" s="64">
        <f t="shared" si="1364"/>
        <v>0</v>
      </c>
      <c r="AE961" s="1">
        <f t="shared" si="1421"/>
        <v>18.978313907676046</v>
      </c>
    </row>
    <row r="962" spans="1:31" ht="13.5" customHeight="1">
      <c r="A962" s="1">
        <v>3</v>
      </c>
      <c r="B962" s="3">
        <f t="shared" si="1397"/>
        <v>1000</v>
      </c>
      <c r="C962" s="1">
        <f t="shared" si="1368"/>
        <v>3.5974800726765205E-2</v>
      </c>
      <c r="D962" s="1">
        <f t="shared" si="1369"/>
        <v>0.8769929141804359</v>
      </c>
      <c r="E962" s="1">
        <f t="shared" si="1398"/>
        <v>73.784722927385559</v>
      </c>
      <c r="F962" s="1">
        <f t="shared" si="1371"/>
        <v>20</v>
      </c>
      <c r="G962" s="1">
        <f t="shared" si="1399"/>
        <v>999.62417989498249</v>
      </c>
      <c r="H962" s="1">
        <f t="shared" si="1400"/>
        <v>67.168820898475161</v>
      </c>
      <c r="I962" s="1">
        <f t="shared" si="1401"/>
        <v>166.7834116878376</v>
      </c>
      <c r="J962" s="3">
        <f t="shared" si="1402"/>
        <v>17.320508075688775</v>
      </c>
      <c r="K962" s="47">
        <f t="shared" si="1403"/>
        <v>0.1206194431561069</v>
      </c>
      <c r="L962" s="3">
        <f t="shared" si="1404"/>
        <v>3</v>
      </c>
      <c r="M962" s="47">
        <f t="shared" si="1405"/>
        <v>0.51218447200045381</v>
      </c>
      <c r="N962" s="47">
        <f t="shared" si="1406"/>
        <v>777.88164513243419</v>
      </c>
      <c r="O962" s="1">
        <f t="shared" si="1407"/>
        <v>0.99641389536376546</v>
      </c>
      <c r="P962" s="1">
        <f t="shared" si="1408"/>
        <v>5.857264645846862</v>
      </c>
      <c r="Q962" s="1">
        <f t="shared" si="1409"/>
        <v>73.978294740410178</v>
      </c>
      <c r="R962" s="1">
        <f t="shared" si="1410"/>
        <v>73.784722927385559</v>
      </c>
      <c r="S962" s="47">
        <f t="shared" si="1411"/>
        <v>98.063802050540176</v>
      </c>
      <c r="T962" s="1">
        <f t="shared" si="1412"/>
        <v>67.337260100742171</v>
      </c>
      <c r="U962" s="47">
        <f t="shared" si="1413"/>
        <v>67.167503732828266</v>
      </c>
      <c r="V962" s="47">
        <f t="shared" si="1414"/>
        <v>85.998857993912964</v>
      </c>
      <c r="W962" s="2">
        <f t="shared" si="1388"/>
        <v>999.63417989498248</v>
      </c>
      <c r="X962" s="1">
        <f t="shared" si="1415"/>
        <v>129.50928261635474</v>
      </c>
      <c r="Y962" s="1">
        <f t="shared" si="1416"/>
        <v>12.091479161864394</v>
      </c>
      <c r="Z962" s="2">
        <f t="shared" si="1417"/>
        <v>4.5558202546250648</v>
      </c>
      <c r="AA962" s="3">
        <f t="shared" si="1418"/>
        <v>1000</v>
      </c>
      <c r="AB962" s="1">
        <f t="shared" si="1363"/>
        <v>3.659539783402721E-4</v>
      </c>
      <c r="AC962" s="1">
        <f t="shared" si="1422"/>
        <v>0</v>
      </c>
      <c r="AD962" s="64">
        <f t="shared" si="1364"/>
        <v>0</v>
      </c>
      <c r="AE962" s="1">
        <f t="shared" si="1421"/>
        <v>18.978313907676046</v>
      </c>
    </row>
    <row r="963" spans="1:31" ht="13.5" customHeight="1">
      <c r="A963" s="1">
        <v>4</v>
      </c>
      <c r="B963" s="3">
        <f t="shared" si="1397"/>
        <v>1000</v>
      </c>
      <c r="C963" s="1">
        <f t="shared" si="1368"/>
        <v>3.3510202932690414E-2</v>
      </c>
      <c r="D963" s="1">
        <f t="shared" si="1369"/>
        <v>0.86840245200669652</v>
      </c>
      <c r="E963" s="1">
        <f t="shared" si="1398"/>
        <v>73.978294740410178</v>
      </c>
      <c r="F963" s="1">
        <f t="shared" si="1371"/>
        <v>20</v>
      </c>
      <c r="G963" s="1">
        <f t="shared" si="1399"/>
        <v>999.7543580726358</v>
      </c>
      <c r="H963" s="1">
        <f t="shared" si="1400"/>
        <v>66.874883507712369</v>
      </c>
      <c r="I963" s="1">
        <f t="shared" si="1401"/>
        <v>179.04994523762741</v>
      </c>
      <c r="J963" s="3">
        <f t="shared" si="1402"/>
        <v>20</v>
      </c>
      <c r="K963" s="47">
        <f t="shared" si="1403"/>
        <v>0.15412964608879731</v>
      </c>
      <c r="L963" s="3">
        <f t="shared" si="1404"/>
        <v>3</v>
      </c>
      <c r="M963" s="47">
        <f t="shared" si="1405"/>
        <v>0.49085874550572395</v>
      </c>
      <c r="N963" s="47">
        <f t="shared" si="1406"/>
        <v>599.48394377529894</v>
      </c>
      <c r="O963" s="1">
        <f t="shared" si="1407"/>
        <v>0.9968037324530683</v>
      </c>
      <c r="P963" s="1">
        <f t="shared" si="1408"/>
        <v>6.111737903150015</v>
      </c>
      <c r="Q963" s="1">
        <f t="shared" si="1409"/>
        <v>74.151377029431018</v>
      </c>
      <c r="R963" s="1">
        <f t="shared" si="1410"/>
        <v>73.978294740410178</v>
      </c>
      <c r="S963" s="47">
        <f t="shared" si="1411"/>
        <v>112.04387019428363</v>
      </c>
      <c r="T963" s="1">
        <f t="shared" si="1412"/>
        <v>67.103883505476333</v>
      </c>
      <c r="U963" s="47">
        <f t="shared" si="1413"/>
        <v>66.953326891293329</v>
      </c>
      <c r="V963" s="47">
        <f t="shared" si="1414"/>
        <v>97.461998173487672</v>
      </c>
      <c r="W963" s="2">
        <f t="shared" si="1388"/>
        <v>999.76435807263579</v>
      </c>
      <c r="X963" s="1">
        <f t="shared" si="1415"/>
        <v>120.6367305576855</v>
      </c>
      <c r="Y963" s="1">
        <f t="shared" si="1416"/>
        <v>13.647242452129262</v>
      </c>
      <c r="Z963" s="2">
        <f t="shared" si="1417"/>
        <v>4.3502455782193348</v>
      </c>
      <c r="AA963" s="3">
        <f t="shared" si="1418"/>
        <v>1000</v>
      </c>
      <c r="AB963" s="1">
        <f t="shared" si="1363"/>
        <v>2.3569746756968435E-4</v>
      </c>
      <c r="AC963" s="1">
        <f t="shared" si="1422"/>
        <v>0</v>
      </c>
      <c r="AD963" s="64">
        <f t="shared" si="1364"/>
        <v>0</v>
      </c>
      <c r="AE963" s="1">
        <f t="shared" si="1421"/>
        <v>18.978313907676046</v>
      </c>
    </row>
    <row r="964" spans="1:31" ht="13.5" customHeight="1">
      <c r="A964" s="1">
        <v>5</v>
      </c>
      <c r="B964" s="3">
        <f t="shared" si="1397"/>
        <v>1000</v>
      </c>
      <c r="C964" s="1">
        <f t="shared" si="1368"/>
        <v>3.1570026722173655E-2</v>
      </c>
      <c r="D964" s="1">
        <f t="shared" si="1369"/>
        <v>0.86074939904730052</v>
      </c>
      <c r="E964" s="1">
        <f t="shared" si="1398"/>
        <v>74.151377029431018</v>
      </c>
      <c r="F964" s="1">
        <f t="shared" si="1371"/>
        <v>20</v>
      </c>
      <c r="G964" s="1">
        <f t="shared" si="1399"/>
        <v>999.8407264888657</v>
      </c>
      <c r="H964" s="1">
        <f t="shared" si="1400"/>
        <v>66.610765235666548</v>
      </c>
      <c r="I964" s="1">
        <f t="shared" si="1401"/>
        <v>190.05368772101212</v>
      </c>
      <c r="J964" s="3">
        <f t="shared" si="1402"/>
        <v>22.360679774997898</v>
      </c>
      <c r="K964" s="47">
        <f t="shared" si="1403"/>
        <v>0.18569967281097097</v>
      </c>
      <c r="L964" s="3">
        <f t="shared" si="1404"/>
        <v>3</v>
      </c>
      <c r="M964" s="47">
        <f t="shared" si="1405"/>
        <v>0.47312018550565843</v>
      </c>
      <c r="N964" s="47">
        <f t="shared" si="1406"/>
        <v>486.39269706267771</v>
      </c>
      <c r="O964" s="1">
        <f t="shared" si="1407"/>
        <v>0.99706207211348663</v>
      </c>
      <c r="P964" s="1">
        <f t="shared" si="1408"/>
        <v>6.3408835469441636</v>
      </c>
      <c r="Q964" s="1">
        <f t="shared" si="1409"/>
        <v>74.310938650635435</v>
      </c>
      <c r="R964" s="1">
        <f t="shared" si="1410"/>
        <v>74.151377029431018</v>
      </c>
      <c r="S964" s="47">
        <f t="shared" si="1411"/>
        <v>124.44827157356426</v>
      </c>
      <c r="T964" s="1">
        <f t="shared" si="1412"/>
        <v>66.895089413227666</v>
      </c>
      <c r="U964" s="47">
        <f t="shared" si="1413"/>
        <v>66.757315022300006</v>
      </c>
      <c r="V964" s="47">
        <f t="shared" si="1414"/>
        <v>107.4555691313881</v>
      </c>
      <c r="W964" s="2">
        <f t="shared" si="1388"/>
        <v>999.85072648886569</v>
      </c>
      <c r="X964" s="1">
        <f t="shared" si="1415"/>
        <v>113.65209619982515</v>
      </c>
      <c r="Y964" s="1">
        <f t="shared" si="1416"/>
        <v>14.84621033967986</v>
      </c>
      <c r="Z964" s="2">
        <f t="shared" si="1417"/>
        <v>4.191170724207117</v>
      </c>
      <c r="AA964" s="3">
        <f t="shared" si="1418"/>
        <v>1000</v>
      </c>
      <c r="AB964" s="1">
        <f t="shared" si="1363"/>
        <v>1.4929579704214824E-4</v>
      </c>
      <c r="AC964" s="1">
        <f t="shared" si="1422"/>
        <v>0</v>
      </c>
      <c r="AD964" s="64">
        <f t="shared" si="1364"/>
        <v>0</v>
      </c>
      <c r="AE964" s="1">
        <f t="shared" si="1421"/>
        <v>18.978313907676046</v>
      </c>
    </row>
    <row r="965" spans="1:31" ht="13.5" customHeight="1">
      <c r="A965" s="1">
        <v>6</v>
      </c>
      <c r="B965" s="3">
        <f t="shared" si="1397"/>
        <v>1000</v>
      </c>
      <c r="C965" s="1">
        <f t="shared" si="1368"/>
        <v>2.9967808948537421E-2</v>
      </c>
      <c r="D965" s="1">
        <f t="shared" si="1369"/>
        <v>0.85372668925805228</v>
      </c>
      <c r="E965" s="1">
        <f t="shared" si="1398"/>
        <v>74.310938650635435</v>
      </c>
      <c r="F965" s="1">
        <f t="shared" si="1371"/>
        <v>20</v>
      </c>
      <c r="G965" s="1">
        <f t="shared" si="1399"/>
        <v>999.90026099595582</v>
      </c>
      <c r="H965" s="1">
        <f t="shared" si="1400"/>
        <v>66.366697844704177</v>
      </c>
      <c r="I965" s="1">
        <f t="shared" si="1401"/>
        <v>200.21483753795854</v>
      </c>
      <c r="J965" s="3">
        <f t="shared" si="1402"/>
        <v>24.494897427831781</v>
      </c>
      <c r="K965" s="47">
        <f t="shared" si="1403"/>
        <v>0.21566748175950839</v>
      </c>
      <c r="L965" s="3">
        <f t="shared" si="1404"/>
        <v>3</v>
      </c>
      <c r="M965" s="47">
        <f t="shared" si="1405"/>
        <v>0.45789274258918983</v>
      </c>
      <c r="N965" s="47">
        <f t="shared" si="1406"/>
        <v>408.0438454572917</v>
      </c>
      <c r="O965" s="1">
        <f t="shared" si="1407"/>
        <v>0.99724842721698093</v>
      </c>
      <c r="P965" s="1">
        <f t="shared" si="1408"/>
        <v>6.5517526725500579</v>
      </c>
      <c r="Q965" s="1">
        <f t="shared" si="1409"/>
        <v>74.460791482219591</v>
      </c>
      <c r="R965" s="1">
        <f t="shared" si="1410"/>
        <v>74.310938650635435</v>
      </c>
      <c r="S965" s="47">
        <f t="shared" si="1411"/>
        <v>135.73720785360069</v>
      </c>
      <c r="T965" s="1">
        <f t="shared" si="1412"/>
        <v>66.703037294129274</v>
      </c>
      <c r="U965" s="47">
        <f t="shared" si="1413"/>
        <v>66.574530487826422</v>
      </c>
      <c r="V965" s="47">
        <f t="shared" si="1414"/>
        <v>116.40190507802966</v>
      </c>
      <c r="W965" s="2">
        <f t="shared" si="1388"/>
        <v>999.91026099595581</v>
      </c>
      <c r="X965" s="1">
        <f t="shared" si="1415"/>
        <v>107.88411221473471</v>
      </c>
      <c r="Y965" s="1">
        <f t="shared" si="1416"/>
        <v>15.818995733805215</v>
      </c>
      <c r="Z965" s="2">
        <f t="shared" si="1417"/>
        <v>4.0601249354305331</v>
      </c>
      <c r="AA965" s="3">
        <f t="shared" si="1418"/>
        <v>1000</v>
      </c>
      <c r="AB965" s="1">
        <f t="shared" si="1363"/>
        <v>8.9747057855804613E-5</v>
      </c>
      <c r="AC965" s="1">
        <f t="shared" si="1422"/>
        <v>0</v>
      </c>
      <c r="AD965" s="64">
        <f t="shared" si="1364"/>
        <v>0</v>
      </c>
      <c r="AE965" s="1">
        <f t="shared" si="1421"/>
        <v>18.978313907676046</v>
      </c>
    </row>
    <row r="966" spans="1:31" ht="13.5" customHeight="1">
      <c r="A966" s="1">
        <v>7</v>
      </c>
      <c r="B966" s="3">
        <f t="shared" si="1397"/>
        <v>1000</v>
      </c>
      <c r="C966" s="1">
        <f t="shared" si="1368"/>
        <v>2.8603557983940844E-2</v>
      </c>
      <c r="D966" s="1">
        <f t="shared" si="1369"/>
        <v>0.8471654674858774</v>
      </c>
      <c r="E966" s="1">
        <f t="shared" si="1398"/>
        <v>74.460791482219591</v>
      </c>
      <c r="F966" s="1">
        <f t="shared" si="1371"/>
        <v>20</v>
      </c>
      <c r="G966" s="1">
        <f t="shared" si="1399"/>
        <v>999.94195387475872</v>
      </c>
      <c r="H966" s="1">
        <f t="shared" si="1400"/>
        <v>66.137301875685452</v>
      </c>
      <c r="I966" s="1">
        <f t="shared" si="1401"/>
        <v>209.7641140786973</v>
      </c>
      <c r="J966" s="3">
        <f t="shared" si="1402"/>
        <v>26.457513110645905</v>
      </c>
      <c r="K966" s="47">
        <f t="shared" si="1403"/>
        <v>0.24427103974344924</v>
      </c>
      <c r="L966" s="3">
        <f t="shared" si="1404"/>
        <v>3</v>
      </c>
      <c r="M966" s="47">
        <f t="shared" si="1405"/>
        <v>0.44453328433748723</v>
      </c>
      <c r="N966" s="47">
        <f t="shared" si="1406"/>
        <v>350.47962810147158</v>
      </c>
      <c r="O966" s="1">
        <f t="shared" si="1407"/>
        <v>0.99739048792636853</v>
      </c>
      <c r="P966" s="1">
        <f t="shared" si="1408"/>
        <v>6.7486510137729452</v>
      </c>
      <c r="Q966" s="1">
        <f t="shared" si="1409"/>
        <v>74.60327939907134</v>
      </c>
      <c r="R966" s="1">
        <f t="shared" si="1410"/>
        <v>74.460791482219591</v>
      </c>
      <c r="S966" s="47">
        <f t="shared" si="1411"/>
        <v>146.18382072107065</v>
      </c>
      <c r="T966" s="1">
        <f t="shared" si="1412"/>
        <v>66.523332056883689</v>
      </c>
      <c r="U966" s="47">
        <f t="shared" si="1413"/>
        <v>66.401928860175687</v>
      </c>
      <c r="V966" s="47">
        <f t="shared" si="1414"/>
        <v>124.55219736977905</v>
      </c>
      <c r="W966" s="2">
        <f t="shared" si="1388"/>
        <v>999.95195387475871</v>
      </c>
      <c r="X966" s="1">
        <f t="shared" si="1415"/>
        <v>102.97280874218704</v>
      </c>
      <c r="Y966" s="1">
        <f t="shared" si="1416"/>
        <v>16.635083424719799</v>
      </c>
      <c r="Z966" s="2">
        <f t="shared" si="1417"/>
        <v>3.9479562424944423</v>
      </c>
      <c r="AA966" s="3">
        <f t="shared" si="1418"/>
        <v>1000</v>
      </c>
      <c r="AB966" s="1">
        <f t="shared" si="1363"/>
        <v>4.8048433782366118E-5</v>
      </c>
      <c r="AC966" s="1">
        <f t="shared" si="1422"/>
        <v>0</v>
      </c>
      <c r="AD966" s="64">
        <f t="shared" si="1364"/>
        <v>0</v>
      </c>
      <c r="AE966" s="1">
        <f t="shared" si="1421"/>
        <v>18.978313907676046</v>
      </c>
    </row>
    <row r="967" spans="1:31" ht="13.5" customHeight="1">
      <c r="A967" s="1">
        <v>8</v>
      </c>
      <c r="B967" s="3">
        <f t="shared" si="1397"/>
        <v>1000</v>
      </c>
      <c r="C967" s="1">
        <f t="shared" si="1368"/>
        <v>2.7416805214660851E-2</v>
      </c>
      <c r="D967" s="1">
        <f t="shared" si="1369"/>
        <v>0.84096137326967646</v>
      </c>
      <c r="E967" s="1">
        <f t="shared" si="1398"/>
        <v>74.60327939907134</v>
      </c>
      <c r="F967" s="1">
        <f t="shared" si="1371"/>
        <v>20</v>
      </c>
      <c r="G967" s="1">
        <f t="shared" si="1399"/>
        <v>999.97117345571576</v>
      </c>
      <c r="H967" s="1">
        <f t="shared" si="1400"/>
        <v>65.91924882847087</v>
      </c>
      <c r="I967" s="1">
        <f t="shared" si="1401"/>
        <v>218.84387889189813</v>
      </c>
      <c r="J967" s="3">
        <f t="shared" si="1402"/>
        <v>28.284271247461902</v>
      </c>
      <c r="K967" s="47">
        <f t="shared" si="1403"/>
        <v>0.2716878449581101</v>
      </c>
      <c r="L967" s="3">
        <f t="shared" si="1404"/>
        <v>3</v>
      </c>
      <c r="M967" s="47">
        <f t="shared" si="1405"/>
        <v>0.43262395693966571</v>
      </c>
      <c r="N967" s="47">
        <f t="shared" si="1406"/>
        <v>306.37645531506644</v>
      </c>
      <c r="O967" s="1">
        <f t="shared" si="1407"/>
        <v>0.9975030734620326</v>
      </c>
      <c r="P967" s="1">
        <f t="shared" si="1408"/>
        <v>6.9344287385785801</v>
      </c>
      <c r="Q967" s="1">
        <f t="shared" si="1409"/>
        <v>74.739961060530675</v>
      </c>
      <c r="R967" s="1">
        <f t="shared" si="1410"/>
        <v>74.60327939907134</v>
      </c>
      <c r="S967" s="47">
        <f t="shared" si="1411"/>
        <v>155.96593339816616</v>
      </c>
      <c r="T967" s="1">
        <f t="shared" si="1412"/>
        <v>66.353220223938024</v>
      </c>
      <c r="U967" s="47">
        <f t="shared" si="1413"/>
        <v>66.237479638240629</v>
      </c>
      <c r="V967" s="47">
        <f t="shared" si="1414"/>
        <v>132.07030326972543</v>
      </c>
      <c r="W967" s="2">
        <f t="shared" si="1388"/>
        <v>999.98117345571575</v>
      </c>
      <c r="X967" s="1">
        <f t="shared" si="1415"/>
        <v>98.700498772779056</v>
      </c>
      <c r="Y967" s="1">
        <f t="shared" si="1416"/>
        <v>17.336042680922741</v>
      </c>
      <c r="Z967" s="2">
        <f t="shared" si="1417"/>
        <v>3.8494397088507273</v>
      </c>
      <c r="AA967" s="3">
        <f t="shared" si="1418"/>
        <v>1000</v>
      </c>
      <c r="AB967" s="1">
        <f t="shared" si="1363"/>
        <v>1.8826898729784602E-5</v>
      </c>
      <c r="AC967" s="1">
        <f t="shared" si="1422"/>
        <v>0</v>
      </c>
      <c r="AD967" s="64">
        <f t="shared" si="1364"/>
        <v>0</v>
      </c>
      <c r="AE967" s="1">
        <f t="shared" si="1421"/>
        <v>18.978313907676046</v>
      </c>
    </row>
    <row r="968" spans="1:31" ht="13.5" customHeight="1">
      <c r="A968" s="1">
        <v>9</v>
      </c>
      <c r="B968" s="3">
        <f t="shared" si="1397"/>
        <v>1000</v>
      </c>
      <c r="C968" s="1">
        <f t="shared" si="1368"/>
        <v>2.6367931941069098E-2</v>
      </c>
      <c r="D968" s="1">
        <f t="shared" si="1369"/>
        <v>0.83504464678024404</v>
      </c>
      <c r="E968" s="1">
        <f t="shared" si="1398"/>
        <v>74.739961060530675</v>
      </c>
      <c r="F968" s="1">
        <f t="shared" si="1371"/>
        <v>20</v>
      </c>
      <c r="G968" s="1">
        <f t="shared" si="1399"/>
        <v>999.9913829651407</v>
      </c>
      <c r="H968" s="1">
        <f t="shared" si="1400"/>
        <v>65.71031144855516</v>
      </c>
      <c r="I968" s="1">
        <f t="shared" si="1401"/>
        <v>227.54913102057739</v>
      </c>
      <c r="J968" s="3">
        <f t="shared" si="1402"/>
        <v>30</v>
      </c>
      <c r="K968" s="47">
        <f t="shared" si="1403"/>
        <v>0.29805577689917923</v>
      </c>
      <c r="L968" s="3">
        <f t="shared" si="1404"/>
        <v>3</v>
      </c>
      <c r="M968" s="47">
        <f t="shared" si="1405"/>
        <v>0.42187654196628338</v>
      </c>
      <c r="N968" s="47">
        <f t="shared" si="1406"/>
        <v>271.50663173086406</v>
      </c>
      <c r="O968" s="1">
        <f t="shared" si="1407"/>
        <v>0.9975949103781856</v>
      </c>
      <c r="P968" s="1">
        <f t="shared" si="1408"/>
        <v>7.1110851198732012</v>
      </c>
      <c r="Q968" s="1">
        <f t="shared" si="1409"/>
        <v>74.871932977062698</v>
      </c>
      <c r="R968" s="1">
        <f t="shared" si="1410"/>
        <v>74.739961060530675</v>
      </c>
      <c r="S968" s="47">
        <f t="shared" si="1411"/>
        <v>165.20696686547578</v>
      </c>
      <c r="T968" s="1">
        <f t="shared" si="1412"/>
        <v>66.190842947981722</v>
      </c>
      <c r="U968" s="47">
        <f t="shared" si="1413"/>
        <v>66.079749830984667</v>
      </c>
      <c r="V968" s="47">
        <f t="shared" si="1414"/>
        <v>139.07017023776993</v>
      </c>
      <c r="W968" s="2">
        <f t="shared" si="1388"/>
        <v>1000.0013829651407</v>
      </c>
      <c r="X968" s="1">
        <f t="shared" si="1415"/>
        <v>94.924554987848751</v>
      </c>
      <c r="Y968" s="1">
        <f t="shared" si="1416"/>
        <v>17.948795591552873</v>
      </c>
      <c r="Z968" s="2">
        <f t="shared" si="1417"/>
        <v>3.7612992903521572</v>
      </c>
      <c r="AA968" s="3">
        <f t="shared" si="1418"/>
        <v>1000</v>
      </c>
      <c r="AB968" s="1">
        <f t="shared" si="1363"/>
        <v>-1.382963228047096E-6</v>
      </c>
      <c r="AC968" s="1">
        <f t="shared" si="1422"/>
        <v>0</v>
      </c>
      <c r="AD968" s="64">
        <f t="shared" si="1364"/>
        <v>0</v>
      </c>
      <c r="AE968" s="1">
        <f t="shared" si="1421"/>
        <v>18.978313907676046</v>
      </c>
    </row>
    <row r="969" spans="1:31" ht="13.5" customHeight="1">
      <c r="A969" s="1">
        <v>10</v>
      </c>
      <c r="B969" s="3">
        <f t="shared" si="1397"/>
        <v>1000</v>
      </c>
      <c r="C969" s="1">
        <f t="shared" si="1368"/>
        <v>2.5429445819886678E-2</v>
      </c>
      <c r="D969" s="1">
        <f t="shared" si="1369"/>
        <v>0.82936594959176013</v>
      </c>
      <c r="E969" s="1">
        <f t="shared" si="1398"/>
        <v>74.871932977062698</v>
      </c>
      <c r="F969" s="1">
        <f t="shared" si="1371"/>
        <v>20</v>
      </c>
      <c r="G969" s="1">
        <f t="shared" si="1399"/>
        <v>1000.004940131103</v>
      </c>
      <c r="H969" s="1">
        <f t="shared" si="1400"/>
        <v>65.508912799457022</v>
      </c>
      <c r="I969" s="1">
        <f t="shared" si="1401"/>
        <v>235.94694286683193</v>
      </c>
      <c r="J969" s="3">
        <f t="shared" si="1402"/>
        <v>31.622776601683793</v>
      </c>
      <c r="K969" s="47">
        <f t="shared" si="1403"/>
        <v>0.32348522271906588</v>
      </c>
      <c r="L969" s="3">
        <f t="shared" si="1404"/>
        <v>3</v>
      </c>
      <c r="M969" s="47">
        <f t="shared" si="1405"/>
        <v>0.41208308626632595</v>
      </c>
      <c r="N969" s="47">
        <f t="shared" si="1406"/>
        <v>243.25252633072387</v>
      </c>
      <c r="O969" s="1">
        <f t="shared" si="1407"/>
        <v>0.99767150867386722</v>
      </c>
      <c r="P969" s="1">
        <f t="shared" si="1408"/>
        <v>7.2800852546059716</v>
      </c>
      <c r="Q969" s="1">
        <f t="shared" si="1409"/>
        <v>75</v>
      </c>
      <c r="R969" s="1">
        <f t="shared" si="1410"/>
        <v>74.871932977062698</v>
      </c>
      <c r="S969" s="47">
        <f t="shared" si="1411"/>
        <v>173.99671563893247</v>
      </c>
      <c r="T969" s="1">
        <f t="shared" si="1412"/>
        <v>66.034875851137301</v>
      </c>
      <c r="U969" s="47">
        <f t="shared" si="1413"/>
        <v>65.927684042018328</v>
      </c>
      <c r="V969" s="47">
        <f t="shared" si="1414"/>
        <v>145.63485823534359</v>
      </c>
      <c r="W969" s="2">
        <f t="shared" si="1388"/>
        <v>1000.014940131103</v>
      </c>
      <c r="X969" s="1">
        <f t="shared" si="1415"/>
        <v>91.546004951592039</v>
      </c>
      <c r="Y969" s="1">
        <f t="shared" si="1416"/>
        <v>18.4918088550146</v>
      </c>
      <c r="Z969" s="2">
        <f t="shared" si="1417"/>
        <v>3.6813389154312666</v>
      </c>
      <c r="AA969" s="3">
        <f t="shared" si="1418"/>
        <v>1000</v>
      </c>
      <c r="AB969" s="1">
        <f t="shared" si="1363"/>
        <v>-1.4939907898803284E-5</v>
      </c>
      <c r="AC969" s="1">
        <f t="shared" si="1422"/>
        <v>0</v>
      </c>
      <c r="AD969" s="64">
        <f t="shared" si="1364"/>
        <v>0</v>
      </c>
      <c r="AE969" s="1">
        <f t="shared" si="1421"/>
        <v>18.978313907676046</v>
      </c>
    </row>
    <row r="970" spans="1:31" ht="13.5" customHeight="1">
      <c r="K970" s="47"/>
      <c r="L970" s="47"/>
      <c r="M970" s="47"/>
      <c r="N970" s="47">
        <f>SUM(N960:N969)</f>
        <v>6489.1569538380227</v>
      </c>
      <c r="O970" s="2" t="s">
        <v>46</v>
      </c>
      <c r="P970" s="2"/>
      <c r="Q970" s="2"/>
      <c r="R970" s="49">
        <f>R950</f>
        <v>75</v>
      </c>
      <c r="S970" s="50" t="s">
        <v>45</v>
      </c>
      <c r="T970" s="2"/>
      <c r="U970" s="11">
        <f>U969</f>
        <v>65.927684042018328</v>
      </c>
      <c r="V970" s="47"/>
      <c r="W970" s="2"/>
      <c r="Y970" s="1">
        <f>N971</f>
        <v>18.978313907676046</v>
      </c>
      <c r="AE970" s="1">
        <f t="shared" si="1421"/>
        <v>18.978313907676046</v>
      </c>
    </row>
    <row r="971" spans="1:31" ht="13.5" customHeight="1">
      <c r="K971" s="47"/>
      <c r="L971" s="2" t="s">
        <v>44</v>
      </c>
      <c r="M971" s="2"/>
      <c r="N971" s="47">
        <f>N970*2/1000+Y971</f>
        <v>18.978313907676046</v>
      </c>
      <c r="O971" s="2" t="s">
        <v>1</v>
      </c>
      <c r="P971" s="1">
        <f>SUM(P960:P969)</f>
        <v>63.704173744769612</v>
      </c>
      <c r="Q971" s="1" t="s">
        <v>43</v>
      </c>
      <c r="S971" s="47"/>
      <c r="U971" s="47"/>
      <c r="V971" s="47"/>
      <c r="W971" s="2"/>
      <c r="Y971" s="3">
        <f>Y951</f>
        <v>6</v>
      </c>
      <c r="Z971" s="3" t="s">
        <v>42</v>
      </c>
      <c r="AE971" s="1">
        <f>N971</f>
        <v>18.978313907676046</v>
      </c>
    </row>
    <row r="972" spans="1:31" ht="13.5" customHeight="1">
      <c r="L972" s="60" t="s">
        <v>41</v>
      </c>
      <c r="N972" s="3">
        <f>N952</f>
        <v>15</v>
      </c>
      <c r="O972" s="1" t="s">
        <v>1</v>
      </c>
    </row>
    <row r="975" spans="1:31" ht="13.5" customHeight="1" thickBot="1"/>
    <row r="976" spans="1:31" ht="13.5" customHeight="1">
      <c r="B976" s="14" t="s">
        <v>40</v>
      </c>
      <c r="C976" s="15"/>
      <c r="D976" s="15"/>
      <c r="E976" s="15"/>
      <c r="F976" s="15"/>
      <c r="G976" s="15"/>
      <c r="H976" s="15" t="s">
        <v>39</v>
      </c>
      <c r="I976" s="16"/>
      <c r="J976" s="14" t="s">
        <v>38</v>
      </c>
      <c r="K976" s="15"/>
      <c r="L976" s="15"/>
      <c r="M976" s="15"/>
      <c r="N976" s="15" t="s">
        <v>37</v>
      </c>
      <c r="O976" s="15"/>
      <c r="P976" s="15"/>
      <c r="Q976" s="15"/>
      <c r="R976" s="15"/>
      <c r="S976" s="16"/>
      <c r="T976" s="14" t="s">
        <v>36</v>
      </c>
      <c r="U976" s="15"/>
      <c r="V976" s="16"/>
      <c r="W976" s="14"/>
      <c r="X976" s="15"/>
      <c r="Y976" s="15"/>
      <c r="Z976" s="16"/>
    </row>
    <row r="977" spans="1:31" ht="13.5" customHeight="1">
      <c r="B977" s="17" t="s">
        <v>35</v>
      </c>
      <c r="C977" s="18" t="s">
        <v>22</v>
      </c>
      <c r="D977" s="18"/>
      <c r="E977" s="18" t="s">
        <v>34</v>
      </c>
      <c r="F977" s="18" t="s">
        <v>33</v>
      </c>
      <c r="G977" s="18" t="s">
        <v>7</v>
      </c>
      <c r="H977" s="18" t="s">
        <v>32</v>
      </c>
      <c r="I977" s="19" t="s">
        <v>22</v>
      </c>
      <c r="J977" s="17" t="s">
        <v>31</v>
      </c>
      <c r="K977" s="18"/>
      <c r="L977" s="18" t="s">
        <v>30</v>
      </c>
      <c r="M977" s="18"/>
      <c r="N977" s="18" t="s">
        <v>29</v>
      </c>
      <c r="O977" s="18"/>
      <c r="P977" s="18" t="s">
        <v>28</v>
      </c>
      <c r="Q977" s="20" t="s">
        <v>27</v>
      </c>
      <c r="R977" s="21" t="s">
        <v>26</v>
      </c>
      <c r="S977" s="22" t="s">
        <v>7</v>
      </c>
      <c r="T977" s="23" t="s">
        <v>25</v>
      </c>
      <c r="U977" s="24" t="s">
        <v>24</v>
      </c>
      <c r="V977" s="25" t="s">
        <v>7</v>
      </c>
      <c r="W977" s="26" t="s">
        <v>23</v>
      </c>
      <c r="X977" s="4" t="s">
        <v>22</v>
      </c>
      <c r="Y977" s="4" t="s">
        <v>21</v>
      </c>
      <c r="Z977" s="5" t="s">
        <v>20</v>
      </c>
    </row>
    <row r="978" spans="1:31" ht="13.5" customHeight="1">
      <c r="B978" s="54" t="s">
        <v>3</v>
      </c>
      <c r="C978" s="28" t="s">
        <v>17</v>
      </c>
      <c r="D978" s="20" t="s">
        <v>13</v>
      </c>
      <c r="E978" s="20" t="s">
        <v>19</v>
      </c>
      <c r="F978" s="28" t="s">
        <v>19</v>
      </c>
      <c r="G978" s="20" t="s">
        <v>3</v>
      </c>
      <c r="H978" s="20" t="s">
        <v>19</v>
      </c>
      <c r="I978" s="29" t="s">
        <v>12</v>
      </c>
      <c r="J978" s="55" t="s">
        <v>18</v>
      </c>
      <c r="K978" s="20" t="s">
        <v>17</v>
      </c>
      <c r="L978" s="56" t="s">
        <v>16</v>
      </c>
      <c r="M978" s="20" t="s">
        <v>15</v>
      </c>
      <c r="N978" s="20" t="s">
        <v>14</v>
      </c>
      <c r="O978" s="20" t="s">
        <v>13</v>
      </c>
      <c r="P978" s="20" t="s">
        <v>12</v>
      </c>
      <c r="Q978" s="20" t="s">
        <v>11</v>
      </c>
      <c r="R978" s="21" t="s">
        <v>11</v>
      </c>
      <c r="S978" s="22" t="s">
        <v>10</v>
      </c>
      <c r="T978" s="23" t="s">
        <v>9</v>
      </c>
      <c r="U978" s="24" t="s">
        <v>9</v>
      </c>
      <c r="V978" s="33" t="s">
        <v>8</v>
      </c>
      <c r="W978" s="34" t="s">
        <v>7</v>
      </c>
      <c r="X978" s="4" t="s">
        <v>6</v>
      </c>
      <c r="Y978" s="6" t="s">
        <v>5</v>
      </c>
      <c r="Z978" s="7" t="s">
        <v>5</v>
      </c>
    </row>
    <row r="979" spans="1:31" ht="13.5" customHeight="1" thickBot="1">
      <c r="B979" s="57"/>
      <c r="C979" s="3">
        <f>C959</f>
        <v>1.05</v>
      </c>
      <c r="D979" s="37"/>
      <c r="E979" s="38"/>
      <c r="F979" s="38"/>
      <c r="G979" s="37"/>
      <c r="H979" s="37"/>
      <c r="I979" s="39"/>
      <c r="J979" s="58" t="s">
        <v>4</v>
      </c>
      <c r="K979" s="44"/>
      <c r="L979" s="59"/>
      <c r="M979" s="37"/>
      <c r="N979" s="37"/>
      <c r="O979" s="37"/>
      <c r="P979" s="37"/>
      <c r="Q979" s="42"/>
      <c r="R979" s="42"/>
      <c r="S979" s="52" t="s">
        <v>3</v>
      </c>
      <c r="T979" s="43"/>
      <c r="U979" s="44"/>
      <c r="V979" s="39" t="s">
        <v>3</v>
      </c>
      <c r="W979" s="45" t="s">
        <v>3</v>
      </c>
      <c r="X979" s="8" t="s">
        <v>2</v>
      </c>
      <c r="Y979" s="9" t="s">
        <v>1</v>
      </c>
      <c r="Z979" s="13" t="s">
        <v>0</v>
      </c>
    </row>
    <row r="980" spans="1:31" ht="13.5" customHeight="1">
      <c r="A980" s="1">
        <v>1</v>
      </c>
      <c r="B980" s="3">
        <f t="shared" ref="B980:B989" si="1423">B960</f>
        <v>1000</v>
      </c>
      <c r="C980" s="1">
        <f>IF(B980&lt;1,0.000001,C960*(1+AB960))</f>
        <v>4.5301201989433992E-2</v>
      </c>
      <c r="D980" s="1">
        <f t="shared" si="1369"/>
        <v>0.9013719016497288</v>
      </c>
      <c r="E980" s="1">
        <f t="shared" ref="E980:E989" si="1424">R980</f>
        <v>73.238673686621667</v>
      </c>
      <c r="F980" s="1">
        <f>F960</f>
        <v>20</v>
      </c>
      <c r="G980" s="1">
        <f t="shared" ref="G980:G989" si="1425">(E980-F980)*C980*(1-D980)*4200</f>
        <v>999.04926106678215</v>
      </c>
      <c r="H980" s="1">
        <f t="shared" ref="H980:H989" si="1426">(E980-F980)*D980+F980</f>
        <v>67.987844542219548</v>
      </c>
      <c r="I980" s="1">
        <f t="shared" ref="I980:I989" si="1427">B980*0.001*6/C980</f>
        <v>132.44681678423089</v>
      </c>
      <c r="J980" s="3">
        <f t="shared" ref="J980:J989" si="1428">J960</f>
        <v>10</v>
      </c>
      <c r="K980" s="47">
        <f t="shared" ref="K980:K989" si="1429">K979+C980</f>
        <v>4.5301201989433992E-2</v>
      </c>
      <c r="L980" s="3">
        <f t="shared" ref="L980:L989" si="1430">L960</f>
        <v>3</v>
      </c>
      <c r="M980" s="47">
        <f t="shared" ref="M980:M989" si="1431">K980/(J980*J980*3.14/4000)</f>
        <v>0.57708537566157947</v>
      </c>
      <c r="N980" s="47">
        <f t="shared" ref="N980:N989" si="1432">L980*26400/J980^1.27*M980^1.83*$N$69</f>
        <v>1944.0369725700677</v>
      </c>
      <c r="O980" s="1">
        <f t="shared" ref="O980:O989" si="1433">EXP(-(J980+2)*3.14/1000*$O$66/(M980*J980*J980*3.14/4000*4200)*L980)</f>
        <v>0.99407642816294539</v>
      </c>
      <c r="P980" s="1">
        <f t="shared" ref="P980:P989" si="1434">L980/M980</f>
        <v>5.1985375587810632</v>
      </c>
      <c r="Q980" s="1">
        <f t="shared" ref="Q980:Q989" si="1435">R981</f>
        <v>73.555916002360917</v>
      </c>
      <c r="R980" s="1">
        <f t="shared" ref="R980:R989" si="1436">(Q980-F980)*O980+F980</f>
        <v>73.238673686621667</v>
      </c>
      <c r="S980" s="47">
        <f t="shared" ref="S980:S989" si="1437">K980*(1-O980)*4200*(Q980-F980)</f>
        <v>60.360124544577637</v>
      </c>
      <c r="T980" s="1">
        <f t="shared" ref="T980:T989" si="1438">(U979*K979+H980*C980)/K980</f>
        <v>67.987844542219548</v>
      </c>
      <c r="U980" s="47">
        <f t="shared" ref="U980:U989" si="1439">(T980-F980)*O980+F980</f>
        <v>67.703585097768297</v>
      </c>
      <c r="V980" s="47">
        <f t="shared" ref="V980:V989" si="1440">K980*(1-O980)*4200*(T980-F980)</f>
        <v>54.084636944058857</v>
      </c>
      <c r="W980" s="2">
        <f t="shared" si="1388"/>
        <v>999.05926106678214</v>
      </c>
      <c r="X980" s="1">
        <f t="shared" ref="X980:X989" si="1441">C980*3600</f>
        <v>163.08432716196236</v>
      </c>
      <c r="Y980" s="1">
        <f t="shared" ref="Y980:Y989" si="1442">Y981-2*N980/1000</f>
        <v>6.0000000000000053</v>
      </c>
      <c r="Z980" s="2">
        <f t="shared" ref="Z980:Z989" si="1443">-1.1-1.8*LOG10(Y980/X980/X980)</f>
        <v>5.4640117635922802</v>
      </c>
      <c r="AA980" s="3">
        <f t="shared" ref="AA980:AA989" si="1444">AA960</f>
        <v>1000</v>
      </c>
      <c r="AB980" s="1">
        <f t="shared" ref="AB980" si="1445">((AA980/W980)-1)*AB$23+AC980+AD980</f>
        <v>9.4162475628656317E-4</v>
      </c>
      <c r="AC980" s="1">
        <f>((N992/N991)-1)*AB$24</f>
        <v>0</v>
      </c>
      <c r="AD980" s="64">
        <f t="shared" ref="AD980" si="1446">(AC$21-(X980/1000/SQRT(Y980/104))*1000/B980)*AB$21</f>
        <v>0</v>
      </c>
      <c r="AE980" s="1">
        <f t="shared" ref="AE980:AE990" si="1447">AE981</f>
        <v>18.995209816619742</v>
      </c>
    </row>
    <row r="981" spans="1:31" ht="13.5" customHeight="1">
      <c r="A981" s="1">
        <v>2</v>
      </c>
      <c r="B981" s="3">
        <f t="shared" si="1423"/>
        <v>1000</v>
      </c>
      <c r="C981" s="1">
        <f t="shared" si="1368"/>
        <v>3.9412474098153995E-2</v>
      </c>
      <c r="D981" s="1">
        <f t="shared" si="1369"/>
        <v>0.88726037557415383</v>
      </c>
      <c r="E981" s="1">
        <f t="shared" si="1424"/>
        <v>73.555916002360917</v>
      </c>
      <c r="F981" s="1">
        <f t="shared" si="1371"/>
        <v>20</v>
      </c>
      <c r="G981" s="1">
        <f t="shared" si="1425"/>
        <v>999.46369720310474</v>
      </c>
      <c r="H981" s="1">
        <f t="shared" si="1426"/>
        <v>67.518042146472581</v>
      </c>
      <c r="I981" s="1">
        <f t="shared" si="1427"/>
        <v>152.2360657962609</v>
      </c>
      <c r="J981" s="3">
        <f t="shared" si="1428"/>
        <v>14.142135623730951</v>
      </c>
      <c r="K981" s="47">
        <f t="shared" si="1429"/>
        <v>8.471367608758798E-2</v>
      </c>
      <c r="L981" s="3">
        <f t="shared" si="1430"/>
        <v>3</v>
      </c>
      <c r="M981" s="47">
        <f t="shared" si="1431"/>
        <v>0.5395775546980125</v>
      </c>
      <c r="N981" s="47">
        <f t="shared" si="1432"/>
        <v>1106.9799114971051</v>
      </c>
      <c r="O981" s="1">
        <f t="shared" si="1433"/>
        <v>0.99573536984174549</v>
      </c>
      <c r="P981" s="1">
        <f t="shared" si="1434"/>
        <v>5.5599051033155407</v>
      </c>
      <c r="Q981" s="1">
        <f t="shared" si="1435"/>
        <v>73.785290373759324</v>
      </c>
      <c r="R981" s="1">
        <f t="shared" si="1436"/>
        <v>73.555916002360917</v>
      </c>
      <c r="S981" s="47">
        <f t="shared" si="1437"/>
        <v>81.61081404604387</v>
      </c>
      <c r="T981" s="1">
        <f t="shared" si="1438"/>
        <v>67.617262474317542</v>
      </c>
      <c r="U981" s="47">
        <f t="shared" si="1439"/>
        <v>67.414192460716038</v>
      </c>
      <c r="V981" s="47">
        <f t="shared" si="1440"/>
        <v>72.251790892424523</v>
      </c>
      <c r="W981" s="2">
        <f t="shared" si="1388"/>
        <v>999.47369720310473</v>
      </c>
      <c r="X981" s="1">
        <f t="shared" si="1441"/>
        <v>141.88490675335439</v>
      </c>
      <c r="Y981" s="1">
        <f t="shared" si="1442"/>
        <v>9.8880739451401407</v>
      </c>
      <c r="Z981" s="2">
        <f t="shared" si="1443"/>
        <v>4.8557692468716098</v>
      </c>
      <c r="AA981" s="3">
        <f t="shared" si="1444"/>
        <v>1000</v>
      </c>
      <c r="AB981" s="1">
        <f t="shared" si="1363"/>
        <v>5.2657993738902675E-4</v>
      </c>
      <c r="AC981" s="1">
        <f t="shared" ref="AC981:AC989" si="1448">AC980</f>
        <v>0</v>
      </c>
      <c r="AD981" s="64">
        <f t="shared" si="1364"/>
        <v>0</v>
      </c>
      <c r="AE981" s="1">
        <f t="shared" si="1447"/>
        <v>18.995209816619742</v>
      </c>
    </row>
    <row r="982" spans="1:31" ht="13.5" customHeight="1">
      <c r="A982" s="1">
        <v>3</v>
      </c>
      <c r="B982" s="3">
        <f t="shared" si="1423"/>
        <v>1000</v>
      </c>
      <c r="C982" s="1">
        <f t="shared" si="1368"/>
        <v>3.5987965848211165E-2</v>
      </c>
      <c r="D982" s="1">
        <f t="shared" si="1369"/>
        <v>0.87703457010075414</v>
      </c>
      <c r="E982" s="1">
        <f t="shared" si="1424"/>
        <v>73.785290373759324</v>
      </c>
      <c r="F982" s="1">
        <f t="shared" si="1371"/>
        <v>20</v>
      </c>
      <c r="G982" s="1">
        <f t="shared" si="1425"/>
        <v>999.66189986606867</v>
      </c>
      <c r="H982" s="1">
        <f t="shared" si="1426"/>
        <v>67.171559020694247</v>
      </c>
      <c r="I982" s="1">
        <f t="shared" si="1427"/>
        <v>166.72239896265876</v>
      </c>
      <c r="J982" s="3">
        <f t="shared" si="1428"/>
        <v>17.320508075688775</v>
      </c>
      <c r="K982" s="47">
        <f t="shared" si="1429"/>
        <v>0.12070164193579914</v>
      </c>
      <c r="L982" s="3">
        <f t="shared" si="1430"/>
        <v>3</v>
      </c>
      <c r="M982" s="47">
        <f t="shared" si="1431"/>
        <v>0.51253351140466707</v>
      </c>
      <c r="N982" s="47">
        <f t="shared" si="1432"/>
        <v>778.8520108969509</v>
      </c>
      <c r="O982" s="1">
        <f t="shared" si="1433"/>
        <v>0.9964163331483975</v>
      </c>
      <c r="P982" s="1">
        <f t="shared" si="1434"/>
        <v>5.853275801962873</v>
      </c>
      <c r="Q982" s="1">
        <f t="shared" si="1435"/>
        <v>73.978732166917439</v>
      </c>
      <c r="R982" s="1">
        <f t="shared" si="1436"/>
        <v>73.785290373759324</v>
      </c>
      <c r="S982" s="47">
        <f t="shared" si="1437"/>
        <v>98.064716623395</v>
      </c>
      <c r="T982" s="1">
        <f t="shared" si="1438"/>
        <v>67.341849750102526</v>
      </c>
      <c r="U982" s="47">
        <f t="shared" si="1439"/>
        <v>67.172192332459531</v>
      </c>
      <c r="V982" s="47">
        <f t="shared" si="1440"/>
        <v>86.007301279604505</v>
      </c>
      <c r="W982" s="2">
        <f t="shared" si="1388"/>
        <v>999.67189986606866</v>
      </c>
      <c r="X982" s="1">
        <f t="shared" si="1441"/>
        <v>129.55667705356018</v>
      </c>
      <c r="Y982" s="1">
        <f t="shared" si="1442"/>
        <v>12.102033768134351</v>
      </c>
      <c r="Z982" s="2">
        <f t="shared" si="1443"/>
        <v>4.5557102328523964</v>
      </c>
      <c r="AA982" s="3">
        <f t="shared" si="1444"/>
        <v>1000</v>
      </c>
      <c r="AB982" s="1">
        <f t="shared" si="1363"/>
        <v>3.2820781896059081E-4</v>
      </c>
      <c r="AC982" s="1">
        <f t="shared" si="1448"/>
        <v>0</v>
      </c>
      <c r="AD982" s="64">
        <f t="shared" si="1364"/>
        <v>0</v>
      </c>
      <c r="AE982" s="1">
        <f t="shared" si="1447"/>
        <v>18.995209816619742</v>
      </c>
    </row>
    <row r="983" spans="1:31" ht="13.5" customHeight="1">
      <c r="A983" s="1">
        <v>4</v>
      </c>
      <c r="B983" s="3">
        <f t="shared" si="1423"/>
        <v>1000</v>
      </c>
      <c r="C983" s="1">
        <f t="shared" si="1368"/>
        <v>3.3518101202659398E-2</v>
      </c>
      <c r="D983" s="1">
        <f t="shared" si="1369"/>
        <v>0.86843095319484898</v>
      </c>
      <c r="E983" s="1">
        <f t="shared" si="1424"/>
        <v>73.978732166917439</v>
      </c>
      <c r="F983" s="1">
        <f t="shared" si="1371"/>
        <v>20</v>
      </c>
      <c r="G983" s="1">
        <f t="shared" si="1425"/>
        <v>999.78152330794921</v>
      </c>
      <c r="H983" s="1">
        <f t="shared" si="1426"/>
        <v>66.876801827965565</v>
      </c>
      <c r="I983" s="1">
        <f t="shared" si="1427"/>
        <v>179.00775356343715</v>
      </c>
      <c r="J983" s="3">
        <f t="shared" si="1428"/>
        <v>20</v>
      </c>
      <c r="K983" s="47">
        <f t="shared" si="1429"/>
        <v>0.15421974313845854</v>
      </c>
      <c r="L983" s="3">
        <f t="shared" si="1430"/>
        <v>3</v>
      </c>
      <c r="M983" s="47">
        <f t="shared" si="1431"/>
        <v>0.49114567878489984</v>
      </c>
      <c r="N983" s="47">
        <f t="shared" si="1432"/>
        <v>600.12538722281965</v>
      </c>
      <c r="O983" s="1">
        <f t="shared" si="1433"/>
        <v>0.99680559676581049</v>
      </c>
      <c r="P983" s="1">
        <f t="shared" si="1434"/>
        <v>6.1081673515321055</v>
      </c>
      <c r="Q983" s="1">
        <f t="shared" si="1435"/>
        <v>74.151714579105843</v>
      </c>
      <c r="R983" s="1">
        <f t="shared" si="1436"/>
        <v>73.978732166917439</v>
      </c>
      <c r="S983" s="47">
        <f t="shared" si="1437"/>
        <v>112.04467333569926</v>
      </c>
      <c r="T983" s="1">
        <f t="shared" si="1438"/>
        <v>67.107992194251253</v>
      </c>
      <c r="U983" s="47">
        <f t="shared" si="1439"/>
        <v>66.957510271629758</v>
      </c>
      <c r="V983" s="47">
        <f t="shared" si="1440"/>
        <v>97.470590505404189</v>
      </c>
      <c r="W983" s="2">
        <f t="shared" si="1388"/>
        <v>999.79152330794921</v>
      </c>
      <c r="X983" s="1">
        <f t="shared" si="1441"/>
        <v>120.66516432957383</v>
      </c>
      <c r="Y983" s="1">
        <f t="shared" si="1442"/>
        <v>13.659737789928252</v>
      </c>
      <c r="Z983" s="2">
        <f t="shared" si="1443"/>
        <v>4.3498986182435324</v>
      </c>
      <c r="AA983" s="3">
        <f t="shared" si="1444"/>
        <v>1000</v>
      </c>
      <c r="AB983" s="1">
        <f t="shared" si="1363"/>
        <v>2.0852016364480974E-4</v>
      </c>
      <c r="AC983" s="1">
        <f t="shared" si="1448"/>
        <v>0</v>
      </c>
      <c r="AD983" s="64">
        <f t="shared" si="1364"/>
        <v>0</v>
      </c>
      <c r="AE983" s="1">
        <f t="shared" si="1447"/>
        <v>18.995209816619742</v>
      </c>
    </row>
    <row r="984" spans="1:31" ht="13.5" customHeight="1">
      <c r="A984" s="1">
        <v>5</v>
      </c>
      <c r="B984" s="3">
        <f t="shared" si="1423"/>
        <v>1000</v>
      </c>
      <c r="C984" s="1">
        <f t="shared" si="1368"/>
        <v>3.1574739994475784E-2</v>
      </c>
      <c r="D984" s="1">
        <f t="shared" si="1369"/>
        <v>0.8607683633910207</v>
      </c>
      <c r="E984" s="1">
        <f t="shared" si="1424"/>
        <v>74.151714579105843</v>
      </c>
      <c r="F984" s="1">
        <f t="shared" si="1371"/>
        <v>20</v>
      </c>
      <c r="G984" s="1">
        <f t="shared" si="1425"/>
        <v>999.86004380852353</v>
      </c>
      <c r="H984" s="1">
        <f t="shared" si="1426"/>
        <v>66.612082733074601</v>
      </c>
      <c r="I984" s="1">
        <f t="shared" si="1427"/>
        <v>190.02531773974198</v>
      </c>
      <c r="J984" s="3">
        <f t="shared" si="1428"/>
        <v>22.360679774997898</v>
      </c>
      <c r="K984" s="47">
        <f t="shared" si="1429"/>
        <v>0.18579448313293434</v>
      </c>
      <c r="L984" s="3">
        <f t="shared" si="1430"/>
        <v>3</v>
      </c>
      <c r="M984" s="47">
        <f t="shared" si="1431"/>
        <v>0.47336174046607465</v>
      </c>
      <c r="N984" s="47">
        <f t="shared" si="1432"/>
        <v>486.84723969704379</v>
      </c>
      <c r="O984" s="1">
        <f t="shared" si="1433"/>
        <v>0.99706356912522653</v>
      </c>
      <c r="P984" s="1">
        <f t="shared" si="1434"/>
        <v>6.3376478146421018</v>
      </c>
      <c r="Q984" s="1">
        <f t="shared" si="1435"/>
        <v>74.311195650860896</v>
      </c>
      <c r="R984" s="1">
        <f t="shared" si="1436"/>
        <v>74.151714579105843</v>
      </c>
      <c r="S984" s="47">
        <f t="shared" si="1437"/>
        <v>124.44895384410714</v>
      </c>
      <c r="T984" s="1">
        <f t="shared" si="1438"/>
        <v>66.898806780907648</v>
      </c>
      <c r="U984" s="47">
        <f t="shared" si="1439"/>
        <v>66.761091676686164</v>
      </c>
      <c r="V984" s="47">
        <f t="shared" si="1440"/>
        <v>107.46416775540753</v>
      </c>
      <c r="W984" s="2">
        <f t="shared" si="1388"/>
        <v>999.87004380852352</v>
      </c>
      <c r="X984" s="1">
        <f t="shared" si="1441"/>
        <v>113.66906398011282</v>
      </c>
      <c r="Y984" s="1">
        <f t="shared" si="1442"/>
        <v>14.859988564373891</v>
      </c>
      <c r="Z984" s="2">
        <f t="shared" si="1443"/>
        <v>4.190678966178865</v>
      </c>
      <c r="AA984" s="3">
        <f t="shared" si="1444"/>
        <v>1000</v>
      </c>
      <c r="AB984" s="1">
        <f t="shared" ref="AB984:AB989" si="1449">((AA984/W984)-1)*AB$23+AC984+AD984</f>
        <v>1.2997308228324123E-4</v>
      </c>
      <c r="AC984" s="1">
        <f t="shared" si="1448"/>
        <v>0</v>
      </c>
      <c r="AD984" s="64">
        <f t="shared" ref="AD984:AD989" si="1450">(AC$21-(X984/1000/SQRT(Y984/104))*1000/B984)*AB$21</f>
        <v>0</v>
      </c>
      <c r="AE984" s="1">
        <f t="shared" si="1447"/>
        <v>18.995209816619742</v>
      </c>
    </row>
    <row r="985" spans="1:31" ht="13.5" customHeight="1">
      <c r="A985" s="1">
        <v>6</v>
      </c>
      <c r="B985" s="3">
        <f t="shared" si="1423"/>
        <v>1000</v>
      </c>
      <c r="C985" s="1">
        <f t="shared" si="1368"/>
        <v>2.9970498471220935E-2</v>
      </c>
      <c r="D985" s="1">
        <f t="shared" si="1369"/>
        <v>0.85373856431673878</v>
      </c>
      <c r="E985" s="1">
        <f t="shared" si="1424"/>
        <v>74.311195650860896</v>
      </c>
      <c r="F985" s="1">
        <f t="shared" si="1371"/>
        <v>20</v>
      </c>
      <c r="G985" s="1">
        <f t="shared" si="1425"/>
        <v>999.91354745628939</v>
      </c>
      <c r="H985" s="1">
        <f t="shared" si="1426"/>
        <v>66.367562201291491</v>
      </c>
      <c r="I985" s="1">
        <f t="shared" si="1427"/>
        <v>200.19687045784303</v>
      </c>
      <c r="J985" s="3">
        <f t="shared" si="1428"/>
        <v>24.494897427831781</v>
      </c>
      <c r="K985" s="47">
        <f t="shared" si="1429"/>
        <v>0.21576498160415528</v>
      </c>
      <c r="L985" s="3">
        <f t="shared" si="1430"/>
        <v>3</v>
      </c>
      <c r="M985" s="47">
        <f t="shared" si="1431"/>
        <v>0.45809974862877978</v>
      </c>
      <c r="N985" s="47">
        <f t="shared" si="1432"/>
        <v>408.38148915535953</v>
      </c>
      <c r="O985" s="1">
        <f t="shared" si="1433"/>
        <v>0.9972496688858169</v>
      </c>
      <c r="P985" s="1">
        <f t="shared" si="1434"/>
        <v>6.5487920676224691</v>
      </c>
      <c r="Q985" s="1">
        <f t="shared" si="1435"/>
        <v>74.460981382466031</v>
      </c>
      <c r="R985" s="1">
        <f t="shared" si="1436"/>
        <v>74.311195650860896</v>
      </c>
      <c r="S985" s="47">
        <f t="shared" si="1437"/>
        <v>135.73776562226419</v>
      </c>
      <c r="T985" s="1">
        <f t="shared" si="1438"/>
        <v>66.706429078274653</v>
      </c>
      <c r="U985" s="47">
        <f t="shared" si="1439"/>
        <v>66.577970933148293</v>
      </c>
      <c r="V985" s="47">
        <f t="shared" si="1440"/>
        <v>116.41043114439518</v>
      </c>
      <c r="W985" s="2">
        <f t="shared" si="1388"/>
        <v>999.92354745628938</v>
      </c>
      <c r="X985" s="1">
        <f t="shared" si="1441"/>
        <v>107.89379449639537</v>
      </c>
      <c r="Y985" s="1">
        <f t="shared" si="1442"/>
        <v>15.833683043767978</v>
      </c>
      <c r="Z985" s="2">
        <f t="shared" si="1443"/>
        <v>4.0595397764593724</v>
      </c>
      <c r="AA985" s="3">
        <f t="shared" si="1444"/>
        <v>1000</v>
      </c>
      <c r="AB985" s="1">
        <f t="shared" si="1449"/>
        <v>7.645838914904779E-5</v>
      </c>
      <c r="AC985" s="1">
        <f t="shared" si="1448"/>
        <v>0</v>
      </c>
      <c r="AD985" s="64">
        <f t="shared" si="1450"/>
        <v>0</v>
      </c>
      <c r="AE985" s="1">
        <f t="shared" si="1447"/>
        <v>18.995209816619742</v>
      </c>
    </row>
    <row r="986" spans="1:31" ht="13.5" customHeight="1">
      <c r="A986" s="1">
        <v>7</v>
      </c>
      <c r="B986" s="3">
        <f t="shared" si="1423"/>
        <v>1000</v>
      </c>
      <c r="C986" s="1">
        <f t="shared" si="1368"/>
        <v>2.8604932340102574E-2</v>
      </c>
      <c r="D986" s="1">
        <f t="shared" si="1369"/>
        <v>0.84717203344798853</v>
      </c>
      <c r="E986" s="1">
        <f t="shared" si="1424"/>
        <v>74.460981382466031</v>
      </c>
      <c r="F986" s="1">
        <f t="shared" si="1371"/>
        <v>20</v>
      </c>
      <c r="G986" s="1">
        <f t="shared" si="1425"/>
        <v>999.95052543417137</v>
      </c>
      <c r="H986" s="1">
        <f t="shared" si="1426"/>
        <v>66.137820341356786</v>
      </c>
      <c r="I986" s="1">
        <f t="shared" si="1427"/>
        <v>209.75403572580115</v>
      </c>
      <c r="J986" s="3">
        <f t="shared" si="1428"/>
        <v>26.457513110645905</v>
      </c>
      <c r="K986" s="47">
        <f t="shared" si="1429"/>
        <v>0.24436991394425786</v>
      </c>
      <c r="L986" s="3">
        <f t="shared" si="1430"/>
        <v>3</v>
      </c>
      <c r="M986" s="47">
        <f t="shared" si="1431"/>
        <v>0.44471321918882234</v>
      </c>
      <c r="N986" s="47">
        <f t="shared" si="1432"/>
        <v>350.73928377680363</v>
      </c>
      <c r="O986" s="1">
        <f t="shared" si="1433"/>
        <v>0.99739154237949279</v>
      </c>
      <c r="P986" s="1">
        <f t="shared" si="1434"/>
        <v>6.7459204506493871</v>
      </c>
      <c r="Q986" s="1">
        <f t="shared" si="1435"/>
        <v>74.603412068782546</v>
      </c>
      <c r="R986" s="1">
        <f t="shared" si="1436"/>
        <v>74.460981382466031</v>
      </c>
      <c r="S986" s="47">
        <f t="shared" si="1437"/>
        <v>146.18425314438718</v>
      </c>
      <c r="T986" s="1">
        <f t="shared" si="1438"/>
        <v>66.526448723664984</v>
      </c>
      <c r="U986" s="47">
        <f t="shared" si="1439"/>
        <v>66.405086453936605</v>
      </c>
      <c r="V986" s="47">
        <f t="shared" si="1440"/>
        <v>124.56060712033886</v>
      </c>
      <c r="W986" s="2">
        <f t="shared" si="1388"/>
        <v>999.96052543417136</v>
      </c>
      <c r="X986" s="1">
        <f t="shared" si="1441"/>
        <v>102.97775642436926</v>
      </c>
      <c r="Y986" s="1">
        <f t="shared" si="1442"/>
        <v>16.650446022078697</v>
      </c>
      <c r="Z986" s="2">
        <f t="shared" si="1443"/>
        <v>3.9473097633358623</v>
      </c>
      <c r="AA986" s="3">
        <f t="shared" si="1444"/>
        <v>1000</v>
      </c>
      <c r="AB986" s="1">
        <f t="shared" si="1449"/>
        <v>3.947612413157664E-5</v>
      </c>
      <c r="AC986" s="1">
        <f t="shared" si="1448"/>
        <v>0</v>
      </c>
      <c r="AD986" s="64">
        <f t="shared" si="1450"/>
        <v>0</v>
      </c>
      <c r="AE986" s="1">
        <f t="shared" si="1447"/>
        <v>18.995209816619742</v>
      </c>
    </row>
    <row r="987" spans="1:31" ht="13.5" customHeight="1">
      <c r="A987" s="1">
        <v>8</v>
      </c>
      <c r="B987" s="3">
        <f t="shared" si="1423"/>
        <v>1000</v>
      </c>
      <c r="C987" s="1">
        <f t="shared" si="1368"/>
        <v>2.7417321388076121E-2</v>
      </c>
      <c r="D987" s="1">
        <f t="shared" si="1369"/>
        <v>0.84096398171330711</v>
      </c>
      <c r="E987" s="1">
        <f t="shared" si="1424"/>
        <v>74.603412068782546</v>
      </c>
      <c r="F987" s="1">
        <f t="shared" si="1371"/>
        <v>20</v>
      </c>
      <c r="G987" s="1">
        <f t="shared" si="1425"/>
        <v>999.9760282924658</v>
      </c>
      <c r="H987" s="1">
        <f t="shared" si="1426"/>
        <v>65.919502828495808</v>
      </c>
      <c r="I987" s="1">
        <f t="shared" si="1427"/>
        <v>218.8397588179208</v>
      </c>
      <c r="J987" s="3">
        <f t="shared" si="1428"/>
        <v>28.284271247461902</v>
      </c>
      <c r="K987" s="47">
        <f t="shared" si="1429"/>
        <v>0.27178723533233395</v>
      </c>
      <c r="L987" s="3">
        <f t="shared" si="1430"/>
        <v>3</v>
      </c>
      <c r="M987" s="47">
        <f t="shared" si="1431"/>
        <v>0.43278222186677373</v>
      </c>
      <c r="N987" s="47">
        <f t="shared" si="1432"/>
        <v>306.58159350586834</v>
      </c>
      <c r="O987" s="1">
        <f t="shared" si="1433"/>
        <v>0.99750398542718099</v>
      </c>
      <c r="P987" s="1">
        <f t="shared" si="1434"/>
        <v>6.9318928745726307</v>
      </c>
      <c r="Q987" s="1">
        <f t="shared" si="1435"/>
        <v>74.740044016364152</v>
      </c>
      <c r="R987" s="1">
        <f t="shared" si="1436"/>
        <v>74.603412068782546</v>
      </c>
      <c r="S987" s="47">
        <f t="shared" si="1437"/>
        <v>155.96624102335537</v>
      </c>
      <c r="T987" s="1">
        <f t="shared" si="1438"/>
        <v>66.356101804958456</v>
      </c>
      <c r="U987" s="47">
        <f t="shared" si="1439"/>
        <v>66.240396299314199</v>
      </c>
      <c r="V987" s="47">
        <f t="shared" si="1440"/>
        <v>132.07857386548676</v>
      </c>
      <c r="W987" s="2">
        <f t="shared" si="1388"/>
        <v>999.98602829246579</v>
      </c>
      <c r="X987" s="1">
        <f t="shared" si="1441"/>
        <v>98.702356997074034</v>
      </c>
      <c r="Y987" s="1">
        <f t="shared" si="1442"/>
        <v>17.351924589632304</v>
      </c>
      <c r="Z987" s="2">
        <f t="shared" si="1443"/>
        <v>3.8487533123745963</v>
      </c>
      <c r="AA987" s="3">
        <f t="shared" si="1444"/>
        <v>1000</v>
      </c>
      <c r="AB987" s="1">
        <f t="shared" si="1449"/>
        <v>1.3971902745657516E-5</v>
      </c>
      <c r="AC987" s="1">
        <f t="shared" si="1448"/>
        <v>0</v>
      </c>
      <c r="AD987" s="64">
        <f t="shared" si="1450"/>
        <v>0</v>
      </c>
      <c r="AE987" s="1">
        <f t="shared" si="1447"/>
        <v>18.995209816619742</v>
      </c>
    </row>
    <row r="988" spans="1:31" ht="13.5" customHeight="1">
      <c r="A988" s="1">
        <v>9</v>
      </c>
      <c r="B988" s="3">
        <f t="shared" si="1423"/>
        <v>1000</v>
      </c>
      <c r="C988" s="1">
        <f t="shared" si="1368"/>
        <v>2.6367895475188825E-2</v>
      </c>
      <c r="D988" s="1">
        <f t="shared" si="1369"/>
        <v>0.83504435216398176</v>
      </c>
      <c r="E988" s="1">
        <f t="shared" si="1424"/>
        <v>74.740044016364152</v>
      </c>
      <c r="F988" s="1">
        <f t="shared" si="1371"/>
        <v>20</v>
      </c>
      <c r="G988" s="1">
        <f t="shared" si="1425"/>
        <v>999.99330147281717</v>
      </c>
      <c r="H988" s="1">
        <f t="shared" si="1426"/>
        <v>65.710364593072654</v>
      </c>
      <c r="I988" s="1">
        <f t="shared" si="1427"/>
        <v>227.54944571309338</v>
      </c>
      <c r="J988" s="3">
        <f t="shared" si="1428"/>
        <v>30</v>
      </c>
      <c r="K988" s="47">
        <f t="shared" si="1429"/>
        <v>0.29815513080752276</v>
      </c>
      <c r="L988" s="3">
        <f t="shared" si="1430"/>
        <v>3</v>
      </c>
      <c r="M988" s="47">
        <f t="shared" si="1431"/>
        <v>0.42201717028665642</v>
      </c>
      <c r="N988" s="47">
        <f t="shared" si="1432"/>
        <v>271.67227699250225</v>
      </c>
      <c r="O988" s="1">
        <f t="shared" si="1433"/>
        <v>0.99759571085934495</v>
      </c>
      <c r="P988" s="1">
        <f t="shared" si="1434"/>
        <v>7.1087155007514058</v>
      </c>
      <c r="Q988" s="1">
        <f t="shared" si="1435"/>
        <v>74.871972103017754</v>
      </c>
      <c r="R988" s="1">
        <f t="shared" si="1436"/>
        <v>74.740044016364152</v>
      </c>
      <c r="S988" s="47">
        <f t="shared" si="1437"/>
        <v>165.20715092025466</v>
      </c>
      <c r="T988" s="1">
        <f t="shared" si="1438"/>
        <v>66.193521973888835</v>
      </c>
      <c r="U988" s="47">
        <f t="shared" si="1439"/>
        <v>66.082459390638405</v>
      </c>
      <c r="V988" s="47">
        <f t="shared" si="1440"/>
        <v>139.07829195478558</v>
      </c>
      <c r="W988" s="2">
        <f t="shared" si="1388"/>
        <v>1000.0033014728172</v>
      </c>
      <c r="X988" s="1">
        <f t="shared" si="1441"/>
        <v>94.924423710679775</v>
      </c>
      <c r="Y988" s="1">
        <f t="shared" si="1442"/>
        <v>17.96508777664404</v>
      </c>
      <c r="Z988" s="2">
        <f t="shared" si="1443"/>
        <v>3.7605878708512299</v>
      </c>
      <c r="AA988" s="3">
        <f t="shared" si="1444"/>
        <v>1000</v>
      </c>
      <c r="AB988" s="1">
        <f t="shared" si="1449"/>
        <v>-3.301461917515347E-6</v>
      </c>
      <c r="AC988" s="1">
        <f t="shared" si="1448"/>
        <v>0</v>
      </c>
      <c r="AD988" s="64">
        <f t="shared" si="1450"/>
        <v>0</v>
      </c>
      <c r="AE988" s="1">
        <f t="shared" si="1447"/>
        <v>18.995209816619742</v>
      </c>
    </row>
    <row r="989" spans="1:31" ht="13.5" customHeight="1">
      <c r="A989" s="1">
        <v>10</v>
      </c>
      <c r="B989" s="3">
        <f t="shared" si="1423"/>
        <v>1000</v>
      </c>
      <c r="C989" s="1">
        <f t="shared" si="1368"/>
        <v>2.542906590630821E-2</v>
      </c>
      <c r="D989" s="1">
        <f t="shared" si="1369"/>
        <v>0.82936358936283328</v>
      </c>
      <c r="E989" s="1">
        <f t="shared" si="1424"/>
        <v>74.871972103017754</v>
      </c>
      <c r="F989" s="1">
        <f t="shared" si="1371"/>
        <v>20</v>
      </c>
      <c r="G989" s="1">
        <f t="shared" si="1425"/>
        <v>1000.004545164959</v>
      </c>
      <c r="H989" s="1">
        <f t="shared" si="1426"/>
        <v>65.508815738776065</v>
      </c>
      <c r="I989" s="1">
        <f t="shared" si="1427"/>
        <v>235.95046794509173</v>
      </c>
      <c r="J989" s="3">
        <f t="shared" si="1428"/>
        <v>31.622776601683793</v>
      </c>
      <c r="K989" s="47">
        <f t="shared" si="1429"/>
        <v>0.32358419671383098</v>
      </c>
      <c r="L989" s="3">
        <f t="shared" si="1430"/>
        <v>3</v>
      </c>
      <c r="M989" s="47">
        <f t="shared" si="1431"/>
        <v>0.41220916778831973</v>
      </c>
      <c r="N989" s="47">
        <f t="shared" si="1432"/>
        <v>243.38874299534839</v>
      </c>
      <c r="O989" s="1">
        <f t="shared" si="1433"/>
        <v>0.99767222005486822</v>
      </c>
      <c r="P989" s="1">
        <f t="shared" si="1434"/>
        <v>7.2778585107563138</v>
      </c>
      <c r="Q989" s="1">
        <f t="shared" si="1435"/>
        <v>75</v>
      </c>
      <c r="R989" s="1">
        <f t="shared" si="1436"/>
        <v>74.871972103017754</v>
      </c>
      <c r="S989" s="47">
        <f t="shared" si="1437"/>
        <v>173.99677764823954</v>
      </c>
      <c r="T989" s="1">
        <f t="shared" si="1438"/>
        <v>66.037379246496371</v>
      </c>
      <c r="U989" s="47">
        <f t="shared" si="1439"/>
        <v>65.930214358359962</v>
      </c>
      <c r="V989" s="47">
        <f t="shared" si="1440"/>
        <v>145.64282982291468</v>
      </c>
      <c r="W989" s="2">
        <f t="shared" si="1388"/>
        <v>1000.014545164959</v>
      </c>
      <c r="X989" s="1">
        <f t="shared" si="1441"/>
        <v>91.544637262709557</v>
      </c>
      <c r="Y989" s="1">
        <f t="shared" si="1442"/>
        <v>18.508432330629045</v>
      </c>
      <c r="Z989" s="2">
        <f t="shared" si="1443"/>
        <v>3.6806131255831702</v>
      </c>
      <c r="AA989" s="3">
        <f t="shared" si="1444"/>
        <v>1000</v>
      </c>
      <c r="AB989" s="1">
        <f t="shared" si="1449"/>
        <v>-1.4544953400252858E-5</v>
      </c>
      <c r="AC989" s="1">
        <f t="shared" si="1448"/>
        <v>0</v>
      </c>
      <c r="AD989" s="64">
        <f t="shared" si="1450"/>
        <v>0</v>
      </c>
      <c r="AE989" s="1">
        <f t="shared" si="1447"/>
        <v>18.995209816619742</v>
      </c>
    </row>
    <row r="990" spans="1:31" ht="13.5" customHeight="1">
      <c r="K990" s="47"/>
      <c r="L990" s="47"/>
      <c r="M990" s="47"/>
      <c r="N990" s="47">
        <f>SUM(N980:N989)</f>
        <v>6497.6049083098696</v>
      </c>
      <c r="O990" s="2" t="s">
        <v>46</v>
      </c>
      <c r="P990" s="2"/>
      <c r="Q990" s="2"/>
      <c r="R990" s="49">
        <f>R970</f>
        <v>75</v>
      </c>
      <c r="S990" s="50" t="s">
        <v>45</v>
      </c>
      <c r="T990" s="2"/>
      <c r="U990" s="11">
        <f>U989</f>
        <v>65.930214358359962</v>
      </c>
      <c r="V990" s="47"/>
      <c r="W990" s="2"/>
      <c r="Y990" s="1">
        <f>N991</f>
        <v>18.995209816619742</v>
      </c>
      <c r="AE990" s="1">
        <f t="shared" si="1447"/>
        <v>18.995209816619742</v>
      </c>
    </row>
    <row r="991" spans="1:31" ht="13.5" customHeight="1">
      <c r="K991" s="47"/>
      <c r="L991" s="2" t="s">
        <v>44</v>
      </c>
      <c r="M991" s="2"/>
      <c r="N991" s="47">
        <f>N990*2/1000+Y991</f>
        <v>18.995209816619742</v>
      </c>
      <c r="O991" s="2" t="s">
        <v>1</v>
      </c>
      <c r="P991" s="1">
        <f>SUM(P980:P989)</f>
        <v>63.670713034585901</v>
      </c>
      <c r="Q991" s="1" t="s">
        <v>43</v>
      </c>
      <c r="S991" s="47"/>
      <c r="U991" s="47"/>
      <c r="V991" s="47"/>
      <c r="W991" s="2"/>
      <c r="Y991" s="3">
        <f>Y971</f>
        <v>6</v>
      </c>
      <c r="Z991" s="3" t="s">
        <v>42</v>
      </c>
      <c r="AE991" s="1">
        <f>N991</f>
        <v>18.995209816619742</v>
      </c>
    </row>
    <row r="992" spans="1:31" ht="13.5" customHeight="1">
      <c r="L992" s="60" t="s">
        <v>41</v>
      </c>
      <c r="N992" s="3">
        <f>N972</f>
        <v>15</v>
      </c>
      <c r="O992" s="1" t="s">
        <v>1</v>
      </c>
    </row>
    <row r="995" spans="1:26" ht="13.5" customHeight="1" thickBot="1"/>
    <row r="996" spans="1:26" ht="13.5" customHeight="1">
      <c r="B996" s="14" t="s">
        <v>40</v>
      </c>
      <c r="C996" s="15"/>
      <c r="D996" s="15"/>
      <c r="E996" s="15"/>
      <c r="F996" s="15"/>
      <c r="G996" s="15"/>
      <c r="H996" s="15" t="s">
        <v>39</v>
      </c>
      <c r="I996" s="16"/>
      <c r="J996" s="14" t="s">
        <v>38</v>
      </c>
      <c r="K996" s="15"/>
      <c r="L996" s="15"/>
      <c r="M996" s="15"/>
      <c r="N996" s="15" t="s">
        <v>37</v>
      </c>
      <c r="O996" s="15"/>
      <c r="P996" s="15"/>
      <c r="Q996" s="15"/>
      <c r="R996" s="15"/>
      <c r="S996" s="16"/>
      <c r="T996" s="14" t="s">
        <v>36</v>
      </c>
      <c r="U996" s="15"/>
      <c r="V996" s="16"/>
      <c r="W996" s="14"/>
      <c r="X996" s="15"/>
      <c r="Y996" s="15"/>
      <c r="Z996" s="16"/>
    </row>
    <row r="997" spans="1:26" ht="13.5" customHeight="1">
      <c r="B997" s="17" t="s">
        <v>35</v>
      </c>
      <c r="C997" s="18" t="s">
        <v>22</v>
      </c>
      <c r="D997" s="18"/>
      <c r="E997" s="18" t="s">
        <v>34</v>
      </c>
      <c r="F997" s="18" t="s">
        <v>33</v>
      </c>
      <c r="G997" s="18" t="s">
        <v>7</v>
      </c>
      <c r="H997" s="18" t="s">
        <v>32</v>
      </c>
      <c r="I997" s="19" t="s">
        <v>22</v>
      </c>
      <c r="J997" s="17" t="s">
        <v>31</v>
      </c>
      <c r="K997" s="18"/>
      <c r="L997" s="18" t="s">
        <v>30</v>
      </c>
      <c r="M997" s="18"/>
      <c r="N997" s="18" t="s">
        <v>29</v>
      </c>
      <c r="O997" s="18"/>
      <c r="P997" s="18" t="s">
        <v>28</v>
      </c>
      <c r="Q997" s="20" t="s">
        <v>27</v>
      </c>
      <c r="R997" s="21" t="s">
        <v>26</v>
      </c>
      <c r="S997" s="22" t="s">
        <v>7</v>
      </c>
      <c r="T997" s="23" t="s">
        <v>25</v>
      </c>
      <c r="U997" s="24" t="s">
        <v>24</v>
      </c>
      <c r="V997" s="25" t="s">
        <v>7</v>
      </c>
      <c r="W997" s="26" t="s">
        <v>23</v>
      </c>
      <c r="X997" s="4" t="s">
        <v>22</v>
      </c>
      <c r="Y997" s="4" t="s">
        <v>21</v>
      </c>
      <c r="Z997" s="5" t="s">
        <v>20</v>
      </c>
    </row>
    <row r="998" spans="1:26" ht="13.5" customHeight="1">
      <c r="B998" s="54" t="s">
        <v>3</v>
      </c>
      <c r="C998" s="28" t="s">
        <v>17</v>
      </c>
      <c r="D998" s="20" t="s">
        <v>13</v>
      </c>
      <c r="E998" s="20" t="s">
        <v>19</v>
      </c>
      <c r="F998" s="28" t="s">
        <v>19</v>
      </c>
      <c r="G998" s="20" t="s">
        <v>3</v>
      </c>
      <c r="H998" s="20" t="s">
        <v>19</v>
      </c>
      <c r="I998" s="29" t="s">
        <v>12</v>
      </c>
      <c r="J998" s="55" t="s">
        <v>18</v>
      </c>
      <c r="K998" s="20" t="s">
        <v>17</v>
      </c>
      <c r="L998" s="56" t="s">
        <v>16</v>
      </c>
      <c r="M998" s="20" t="s">
        <v>15</v>
      </c>
      <c r="N998" s="20" t="s">
        <v>14</v>
      </c>
      <c r="O998" s="20" t="s">
        <v>13</v>
      </c>
      <c r="P998" s="20" t="s">
        <v>12</v>
      </c>
      <c r="Q998" s="20" t="s">
        <v>11</v>
      </c>
      <c r="R998" s="21" t="s">
        <v>11</v>
      </c>
      <c r="S998" s="22" t="s">
        <v>10</v>
      </c>
      <c r="T998" s="23" t="s">
        <v>9</v>
      </c>
      <c r="U998" s="24" t="s">
        <v>9</v>
      </c>
      <c r="V998" s="33" t="s">
        <v>8</v>
      </c>
      <c r="W998" s="34" t="s">
        <v>7</v>
      </c>
      <c r="X998" s="4" t="s">
        <v>6</v>
      </c>
      <c r="Y998" s="6" t="s">
        <v>5</v>
      </c>
      <c r="Z998" s="7" t="s">
        <v>5</v>
      </c>
    </row>
    <row r="999" spans="1:26" ht="13.5" customHeight="1" thickBot="1">
      <c r="B999" s="57"/>
      <c r="C999" s="3">
        <f>C979</f>
        <v>1.05</v>
      </c>
      <c r="D999" s="37"/>
      <c r="E999" s="38"/>
      <c r="F999" s="38"/>
      <c r="G999" s="37"/>
      <c r="H999" s="37"/>
      <c r="I999" s="39"/>
      <c r="J999" s="58" t="s">
        <v>4</v>
      </c>
      <c r="K999" s="44"/>
      <c r="L999" s="59"/>
      <c r="M999" s="37"/>
      <c r="N999" s="37"/>
      <c r="O999" s="37"/>
      <c r="P999" s="37"/>
      <c r="Q999" s="42"/>
      <c r="R999" s="42"/>
      <c r="S999" s="52" t="s">
        <v>3</v>
      </c>
      <c r="T999" s="43"/>
      <c r="U999" s="44"/>
      <c r="V999" s="39" t="s">
        <v>3</v>
      </c>
      <c r="W999" s="45" t="s">
        <v>3</v>
      </c>
      <c r="X999" s="8" t="s">
        <v>2</v>
      </c>
      <c r="Y999" s="9" t="s">
        <v>1</v>
      </c>
      <c r="Z999" s="13" t="s">
        <v>0</v>
      </c>
    </row>
    <row r="1001" spans="1:26" ht="13.5" customHeight="1">
      <c r="A1001" s="1">
        <v>44</v>
      </c>
    </row>
  </sheetData>
  <hyperlinks>
    <hyperlink ref="BA2" r:id="rId1"/>
    <hyperlink ref="BA4" r:id="rId2"/>
    <hyperlink ref="BA30" r:id="rId3"/>
    <hyperlink ref="A15" r:id="rId4"/>
    <hyperlink ref="E17" r:id="rId5"/>
    <hyperlink ref="AD59" r:id="rId6"/>
    <hyperlink ref="AD58" r:id="rId7"/>
    <hyperlink ref="A14" r:id="rId8"/>
    <hyperlink ref="AP51" r:id="rId9"/>
    <hyperlink ref="A13" r:id="rId10"/>
    <hyperlink ref="B50" r:id="rId11"/>
    <hyperlink ref="AL13" r:id="rId12"/>
    <hyperlink ref="AL14" r:id="rId13"/>
  </hyperlinks>
  <pageMargins left="0.7" right="0.7" top="0.78740157499999996" bottom="0.78740157499999996" header="0.3" footer="0.3"/>
  <pageSetup paperSize="0" orientation="portrait" horizontalDpi="0" verticalDpi="0" copies="0"/>
  <drawing r:id="rId14"/>
</worksheet>
</file>

<file path=xl/worksheets/sheet10.xml><?xml version="1.0" encoding="utf-8"?>
<worksheet xmlns="http://schemas.openxmlformats.org/spreadsheetml/2006/main" xmlns:r="http://schemas.openxmlformats.org/officeDocument/2006/relationships">
  <dimension ref="A1:Q92"/>
  <sheetViews>
    <sheetView topLeftCell="A6" workbookViewId="0">
      <selection activeCell="Q25" sqref="Q25"/>
    </sheetView>
  </sheetViews>
  <sheetFormatPr defaultRowHeight="15"/>
  <cols>
    <col min="1" max="1" width="11" style="190" bestFit="1" customWidth="1"/>
    <col min="2" max="3" width="9.140625" style="190"/>
    <col min="4" max="4" width="10" style="190" bestFit="1" customWidth="1"/>
    <col min="5" max="16384" width="9.140625" style="190"/>
  </cols>
  <sheetData>
    <row r="1" spans="1:12">
      <c r="A1" s="190" t="s">
        <v>549</v>
      </c>
      <c r="B1" s="190" t="s">
        <v>548</v>
      </c>
      <c r="D1" s="86" t="s">
        <v>1179</v>
      </c>
    </row>
    <row r="2" spans="1:12">
      <c r="A2" s="190" t="s">
        <v>547</v>
      </c>
      <c r="B2" s="190" t="s">
        <v>546</v>
      </c>
    </row>
    <row r="3" spans="1:12">
      <c r="A3" s="190" t="s">
        <v>470</v>
      </c>
      <c r="B3" s="190" t="s">
        <v>542</v>
      </c>
    </row>
    <row r="4" spans="1:12">
      <c r="A4" s="190" t="s">
        <v>545</v>
      </c>
      <c r="B4" s="190" t="s">
        <v>542</v>
      </c>
    </row>
    <row r="5" spans="1:12">
      <c r="A5" s="190" t="s">
        <v>544</v>
      </c>
    </row>
    <row r="6" spans="1:12">
      <c r="A6" s="190" t="s">
        <v>543</v>
      </c>
      <c r="B6" s="190" t="s">
        <v>542</v>
      </c>
    </row>
    <row r="7" spans="1:12">
      <c r="A7" s="190" t="s">
        <v>541</v>
      </c>
      <c r="I7" s="190">
        <v>-273</v>
      </c>
    </row>
    <row r="8" spans="1:12">
      <c r="A8" s="190" t="s">
        <v>540</v>
      </c>
      <c r="B8" s="190" t="s">
        <v>539</v>
      </c>
      <c r="I8" s="190">
        <v>12</v>
      </c>
    </row>
    <row r="9" spans="1:12">
      <c r="A9" s="190" t="s">
        <v>538</v>
      </c>
      <c r="B9" s="190" t="s">
        <v>313</v>
      </c>
      <c r="C9" s="190" t="s">
        <v>537</v>
      </c>
      <c r="D9" s="190" t="s">
        <v>536</v>
      </c>
      <c r="E9" s="190" t="s">
        <v>535</v>
      </c>
      <c r="F9" s="190" t="s">
        <v>534</v>
      </c>
      <c r="G9" s="190" t="s">
        <v>533</v>
      </c>
    </row>
    <row r="10" spans="1:12">
      <c r="A10" s="190" t="s">
        <v>532</v>
      </c>
      <c r="B10" s="190" t="s">
        <v>531</v>
      </c>
      <c r="C10" s="190" t="s">
        <v>530</v>
      </c>
      <c r="D10" s="190" t="s">
        <v>529</v>
      </c>
      <c r="E10" s="190" t="s">
        <v>528</v>
      </c>
      <c r="F10" s="190" t="s">
        <v>528</v>
      </c>
      <c r="G10" s="190" t="s">
        <v>528</v>
      </c>
      <c r="I10" s="243" t="s">
        <v>19</v>
      </c>
      <c r="J10" s="243" t="s">
        <v>454</v>
      </c>
      <c r="K10" s="243" t="s">
        <v>930</v>
      </c>
      <c r="L10" s="243" t="s">
        <v>929</v>
      </c>
    </row>
    <row r="11" spans="1:12">
      <c r="A11" s="190">
        <v>0.05</v>
      </c>
      <c r="B11" s="190">
        <v>81.34</v>
      </c>
      <c r="C11" s="190">
        <v>3.2389999999999999</v>
      </c>
      <c r="D11" s="190">
        <v>0.30890000000000001</v>
      </c>
      <c r="E11" s="190">
        <v>2645.4</v>
      </c>
      <c r="F11" s="190">
        <v>340.6</v>
      </c>
      <c r="G11" s="190">
        <v>2304.8000000000002</v>
      </c>
      <c r="I11" s="190">
        <f>B11</f>
        <v>81.34</v>
      </c>
      <c r="J11" s="190">
        <f>A11</f>
        <v>0.05</v>
      </c>
      <c r="K11" s="190">
        <f>1.4E-32*(I11-I$7)^I$8</f>
        <v>5.4849188398241579E-2</v>
      </c>
      <c r="L11" s="190">
        <f>-J11/K11</f>
        <v>-0.91159051683621561</v>
      </c>
    </row>
    <row r="12" spans="1:12">
      <c r="A12" s="190">
        <v>7.0000000000000007E-2</v>
      </c>
      <c r="B12" s="190">
        <v>89.96</v>
      </c>
      <c r="C12" s="190">
        <v>2.3639999999999999</v>
      </c>
      <c r="D12" s="190">
        <v>0.42330000000000001</v>
      </c>
      <c r="E12" s="190">
        <v>2659.6</v>
      </c>
      <c r="F12" s="190">
        <v>376.9</v>
      </c>
      <c r="G12" s="190">
        <v>2282.6999999999998</v>
      </c>
      <c r="I12" s="243">
        <f t="shared" ref="I12:I48" si="0">B12</f>
        <v>89.96</v>
      </c>
      <c r="J12" s="243">
        <f t="shared" ref="J12:J48" si="1">A12</f>
        <v>7.0000000000000007E-2</v>
      </c>
      <c r="K12" s="243">
        <f t="shared" ref="K12:K48" si="2">1.4E-32*(I12-I$7)^I$8</f>
        <v>7.3186879570561914E-2</v>
      </c>
      <c r="L12" s="243">
        <f t="shared" ref="L12:L48" si="3">-J12/K12</f>
        <v>-0.95645558890799098</v>
      </c>
    </row>
    <row r="13" spans="1:12">
      <c r="A13" s="190">
        <v>0.09</v>
      </c>
      <c r="B13" s="190">
        <v>96.71</v>
      </c>
      <c r="C13" s="190">
        <v>1.869</v>
      </c>
      <c r="D13" s="190">
        <v>0.5353</v>
      </c>
      <c r="E13" s="190">
        <v>2670.5</v>
      </c>
      <c r="F13" s="190">
        <v>405.3</v>
      </c>
      <c r="G13" s="190">
        <v>2265.1999999999998</v>
      </c>
      <c r="I13" s="243">
        <f t="shared" si="0"/>
        <v>96.71</v>
      </c>
      <c r="J13" s="243">
        <f t="shared" si="1"/>
        <v>0.09</v>
      </c>
      <c r="K13" s="243">
        <f t="shared" si="2"/>
        <v>9.1298240357142429E-2</v>
      </c>
      <c r="L13" s="243">
        <f t="shared" si="3"/>
        <v>-0.98578022586126579</v>
      </c>
    </row>
    <row r="14" spans="1:12">
      <c r="A14" s="190">
        <v>0.1</v>
      </c>
      <c r="B14" s="190">
        <v>99.63</v>
      </c>
      <c r="C14" s="190">
        <v>1.694</v>
      </c>
      <c r="D14" s="190">
        <v>0.5907</v>
      </c>
      <c r="E14" s="190">
        <v>2675.2</v>
      </c>
      <c r="F14" s="190">
        <v>417.6</v>
      </c>
      <c r="G14" s="190">
        <v>2257.6</v>
      </c>
      <c r="I14" s="243">
        <f t="shared" si="0"/>
        <v>99.63</v>
      </c>
      <c r="J14" s="243">
        <f t="shared" si="1"/>
        <v>0.1</v>
      </c>
      <c r="K14" s="243">
        <f t="shared" si="2"/>
        <v>0.10033716678239853</v>
      </c>
      <c r="L14" s="243">
        <f t="shared" si="3"/>
        <v>-0.99663966211912547</v>
      </c>
    </row>
    <row r="15" spans="1:12">
      <c r="A15" s="190">
        <v>0.11</v>
      </c>
      <c r="B15" s="190">
        <v>102.31</v>
      </c>
      <c r="C15" s="190">
        <v>1.55</v>
      </c>
      <c r="D15" s="190">
        <v>0.64570000000000005</v>
      </c>
      <c r="E15" s="190">
        <v>2679.4</v>
      </c>
      <c r="F15" s="190">
        <v>428.9</v>
      </c>
      <c r="G15" s="190">
        <v>2250.5</v>
      </c>
      <c r="I15" s="243">
        <f t="shared" si="0"/>
        <v>102.31</v>
      </c>
      <c r="J15" s="243">
        <f t="shared" si="1"/>
        <v>0.11</v>
      </c>
      <c r="K15" s="243">
        <f t="shared" si="2"/>
        <v>0.10934770436384143</v>
      </c>
      <c r="L15" s="243">
        <f t="shared" si="3"/>
        <v>-1.0059653345257997</v>
      </c>
    </row>
    <row r="16" spans="1:12">
      <c r="A16" s="190">
        <v>0.12</v>
      </c>
      <c r="B16" s="190">
        <v>104.8</v>
      </c>
      <c r="C16" s="190">
        <v>1.429</v>
      </c>
      <c r="D16" s="190">
        <v>0.70040000000000002</v>
      </c>
      <c r="E16" s="190">
        <v>2683.3</v>
      </c>
      <c r="F16" s="190">
        <v>439.4</v>
      </c>
      <c r="G16" s="190">
        <v>2243.9</v>
      </c>
      <c r="I16" s="243">
        <f t="shared" si="0"/>
        <v>104.8</v>
      </c>
      <c r="J16" s="243">
        <f t="shared" si="1"/>
        <v>0.12</v>
      </c>
      <c r="K16" s="243">
        <f t="shared" si="2"/>
        <v>0.11837813095321004</v>
      </c>
      <c r="L16" s="243">
        <f t="shared" si="3"/>
        <v>-1.0137007488944982</v>
      </c>
    </row>
    <row r="17" spans="1:17">
      <c r="A17" s="190">
        <v>0.13</v>
      </c>
      <c r="B17" s="190">
        <v>107.12</v>
      </c>
      <c r="C17" s="190">
        <v>1.325</v>
      </c>
      <c r="D17" s="190">
        <v>0.75470000000000004</v>
      </c>
      <c r="E17" s="190">
        <v>2686.9</v>
      </c>
      <c r="F17" s="190">
        <v>449.2</v>
      </c>
      <c r="G17" s="190">
        <v>2237.6999999999998</v>
      </c>
      <c r="I17" s="243">
        <f t="shared" si="0"/>
        <v>107.12</v>
      </c>
      <c r="J17" s="243">
        <f t="shared" si="1"/>
        <v>0.13</v>
      </c>
      <c r="K17" s="243">
        <f t="shared" si="2"/>
        <v>0.12740212820588107</v>
      </c>
      <c r="L17" s="243">
        <f t="shared" si="3"/>
        <v>-1.0203911177207401</v>
      </c>
    </row>
    <row r="18" spans="1:17">
      <c r="A18" s="190">
        <v>0.14000000000000001</v>
      </c>
      <c r="B18" s="190">
        <v>109.31</v>
      </c>
      <c r="C18" s="190">
        <v>1.236</v>
      </c>
      <c r="D18" s="190">
        <v>0.80910000000000004</v>
      </c>
      <c r="E18" s="190">
        <v>2690.2</v>
      </c>
      <c r="F18" s="190">
        <v>458.5</v>
      </c>
      <c r="G18" s="190">
        <v>2231.6999999999998</v>
      </c>
      <c r="I18" s="243">
        <f t="shared" si="0"/>
        <v>109.31</v>
      </c>
      <c r="J18" s="243">
        <f t="shared" si="1"/>
        <v>0.14000000000000001</v>
      </c>
      <c r="K18" s="243">
        <f t="shared" si="2"/>
        <v>0.13649474472934844</v>
      </c>
      <c r="L18" s="243">
        <f t="shared" si="3"/>
        <v>-1.0256805144960126</v>
      </c>
    </row>
    <row r="19" spans="1:17">
      <c r="A19" s="190">
        <v>0.15</v>
      </c>
      <c r="B19" s="190">
        <v>111.36</v>
      </c>
      <c r="C19" s="190">
        <v>1.159</v>
      </c>
      <c r="D19" s="190">
        <v>0.86280000000000001</v>
      </c>
      <c r="E19" s="190">
        <v>2693.3</v>
      </c>
      <c r="F19" s="190">
        <v>467.2</v>
      </c>
      <c r="G19" s="190">
        <v>2226.1</v>
      </c>
      <c r="I19" s="243">
        <f t="shared" si="0"/>
        <v>111.36</v>
      </c>
      <c r="J19" s="243">
        <f t="shared" si="1"/>
        <v>0.15</v>
      </c>
      <c r="K19" s="243">
        <f t="shared" si="2"/>
        <v>0.1455413008108605</v>
      </c>
      <c r="L19" s="243">
        <f t="shared" si="3"/>
        <v>-1.0306352847219211</v>
      </c>
    </row>
    <row r="20" spans="1:17">
      <c r="A20" s="190">
        <v>0.16</v>
      </c>
      <c r="B20" s="190">
        <v>113.31</v>
      </c>
      <c r="C20" s="190">
        <v>1.091</v>
      </c>
      <c r="D20" s="190">
        <v>0.91649999999999998</v>
      </c>
      <c r="E20" s="190">
        <v>2696.3</v>
      </c>
      <c r="F20" s="190">
        <v>475.4</v>
      </c>
      <c r="G20" s="190">
        <v>2220.9</v>
      </c>
      <c r="I20" s="243">
        <f t="shared" si="0"/>
        <v>113.31</v>
      </c>
      <c r="J20" s="243">
        <f t="shared" si="1"/>
        <v>0.16</v>
      </c>
      <c r="K20" s="243">
        <f t="shared" si="2"/>
        <v>0.15465338874469661</v>
      </c>
      <c r="L20" s="243">
        <f t="shared" si="3"/>
        <v>-1.0345715751766011</v>
      </c>
    </row>
    <row r="21" spans="1:17">
      <c r="A21" s="190">
        <v>0.17</v>
      </c>
      <c r="B21" s="190">
        <v>115.16</v>
      </c>
      <c r="C21" s="190">
        <v>1.0309999999999999</v>
      </c>
      <c r="D21" s="190">
        <v>0.97</v>
      </c>
      <c r="E21" s="190">
        <v>2699</v>
      </c>
      <c r="F21" s="190">
        <v>483.3</v>
      </c>
      <c r="G21" s="190">
        <v>2215.6999999999998</v>
      </c>
      <c r="I21" s="243">
        <f t="shared" si="0"/>
        <v>115.16</v>
      </c>
      <c r="J21" s="243">
        <f t="shared" si="1"/>
        <v>0.17</v>
      </c>
      <c r="K21" s="243">
        <f t="shared" si="2"/>
        <v>0.16377868731184736</v>
      </c>
      <c r="L21" s="243">
        <f t="shared" si="3"/>
        <v>-1.0379860944684871</v>
      </c>
    </row>
    <row r="22" spans="1:17">
      <c r="A22" s="190">
        <v>0.18</v>
      </c>
      <c r="B22" s="190">
        <v>116.92</v>
      </c>
      <c r="C22" s="190">
        <v>0.97729999999999995</v>
      </c>
      <c r="D22" s="190">
        <v>1.0232000000000001</v>
      </c>
      <c r="E22" s="190">
        <v>2701.6</v>
      </c>
      <c r="F22" s="190">
        <v>490.7</v>
      </c>
      <c r="G22" s="190">
        <v>2210.9</v>
      </c>
      <c r="I22" s="243">
        <f t="shared" si="0"/>
        <v>116.92</v>
      </c>
      <c r="J22" s="243">
        <f t="shared" si="1"/>
        <v>0.18</v>
      </c>
      <c r="K22" s="243">
        <f t="shared" si="2"/>
        <v>0.17291560071475853</v>
      </c>
      <c r="L22" s="243">
        <f t="shared" si="3"/>
        <v>-1.0409702725257732</v>
      </c>
    </row>
    <row r="23" spans="1:17">
      <c r="A23" s="190">
        <v>0.19</v>
      </c>
      <c r="B23" s="190">
        <v>118.6</v>
      </c>
      <c r="C23" s="190">
        <v>0.92900000000000005</v>
      </c>
      <c r="D23" s="190">
        <v>1.0761000000000001</v>
      </c>
      <c r="E23" s="190">
        <v>2704.1</v>
      </c>
      <c r="F23" s="190">
        <v>497.9</v>
      </c>
      <c r="G23" s="190">
        <v>2206.1999999999998</v>
      </c>
      <c r="I23" s="243">
        <f t="shared" si="0"/>
        <v>118.6</v>
      </c>
      <c r="J23" s="243">
        <f t="shared" si="1"/>
        <v>0.19</v>
      </c>
      <c r="K23" s="243">
        <f t="shared" si="2"/>
        <v>0.18207077182445564</v>
      </c>
      <c r="L23" s="243">
        <f t="shared" si="3"/>
        <v>-1.0435502529927723</v>
      </c>
      <c r="O23" s="86" t="s">
        <v>1384</v>
      </c>
    </row>
    <row r="24" spans="1:17">
      <c r="A24" s="190">
        <v>0.2</v>
      </c>
      <c r="B24" s="190">
        <v>120.21</v>
      </c>
      <c r="C24" s="190">
        <v>0.88539999999999996</v>
      </c>
      <c r="D24" s="190">
        <v>1.1289</v>
      </c>
      <c r="E24" s="190">
        <v>2706.4</v>
      </c>
      <c r="F24" s="190">
        <v>504.7</v>
      </c>
      <c r="G24" s="190">
        <v>2201.6999999999998</v>
      </c>
      <c r="I24" s="243">
        <f t="shared" si="0"/>
        <v>120.21</v>
      </c>
      <c r="J24" s="243">
        <f t="shared" si="1"/>
        <v>0.2</v>
      </c>
      <c r="K24" s="243">
        <f t="shared" si="2"/>
        <v>0.19125935439669745</v>
      </c>
      <c r="L24" s="243">
        <f t="shared" si="3"/>
        <v>-1.0457004868121289</v>
      </c>
      <c r="Q24" s="297" t="s">
        <v>1385</v>
      </c>
    </row>
    <row r="25" spans="1:17">
      <c r="A25" s="190">
        <v>0.21</v>
      </c>
      <c r="B25" s="190">
        <v>121.76</v>
      </c>
      <c r="C25" s="190">
        <v>0.84589999999999999</v>
      </c>
      <c r="D25" s="190">
        <v>1.1817</v>
      </c>
      <c r="E25" s="190">
        <v>2708.7</v>
      </c>
      <c r="F25" s="190">
        <v>511.3</v>
      </c>
      <c r="G25" s="190">
        <v>2197.4</v>
      </c>
      <c r="I25" s="243">
        <f t="shared" si="0"/>
        <v>121.76</v>
      </c>
      <c r="J25" s="243">
        <f t="shared" si="1"/>
        <v>0.21</v>
      </c>
      <c r="K25" s="243">
        <f t="shared" si="2"/>
        <v>0.20050523646531401</v>
      </c>
      <c r="L25" s="243">
        <f t="shared" si="3"/>
        <v>-1.0473541923496272</v>
      </c>
    </row>
    <row r="26" spans="1:17">
      <c r="A26" s="190">
        <v>0.22</v>
      </c>
      <c r="B26" s="190">
        <v>123.25</v>
      </c>
      <c r="C26" s="190">
        <v>0.80979999999999996</v>
      </c>
      <c r="D26" s="190">
        <v>1.2343</v>
      </c>
      <c r="E26" s="190">
        <v>2710.8</v>
      </c>
      <c r="F26" s="190">
        <v>517.6</v>
      </c>
      <c r="G26" s="190">
        <v>2193.1999999999998</v>
      </c>
      <c r="I26" s="243">
        <f t="shared" si="0"/>
        <v>123.25</v>
      </c>
      <c r="J26" s="243">
        <f t="shared" si="1"/>
        <v>0.22</v>
      </c>
      <c r="K26" s="243">
        <f t="shared" si="2"/>
        <v>0.20977770912225194</v>
      </c>
      <c r="L26" s="243">
        <f t="shared" si="3"/>
        <v>-1.0487291567846746</v>
      </c>
      <c r="O26" s="190">
        <v>55</v>
      </c>
      <c r="P26" s="190">
        <v>15730</v>
      </c>
    </row>
    <row r="27" spans="1:17">
      <c r="A27" s="190">
        <v>0.23</v>
      </c>
      <c r="B27" s="190">
        <v>124.68</v>
      </c>
      <c r="C27" s="190">
        <v>0.77680000000000005</v>
      </c>
      <c r="D27" s="190">
        <v>1.2866</v>
      </c>
      <c r="E27" s="190">
        <v>2712.9</v>
      </c>
      <c r="F27" s="190">
        <v>523.70000000000005</v>
      </c>
      <c r="G27" s="190">
        <v>2189.1999999999998</v>
      </c>
      <c r="I27" s="243">
        <f t="shared" si="0"/>
        <v>124.68</v>
      </c>
      <c r="J27" s="243">
        <f t="shared" si="1"/>
        <v>0.23</v>
      </c>
      <c r="K27" s="243">
        <f t="shared" si="2"/>
        <v>0.21904484515064945</v>
      </c>
      <c r="L27" s="243">
        <f t="shared" si="3"/>
        <v>-1.0500132967832048</v>
      </c>
      <c r="O27" s="190">
        <v>50</v>
      </c>
      <c r="P27" s="190">
        <v>12330</v>
      </c>
    </row>
    <row r="28" spans="1:17">
      <c r="A28" s="190">
        <v>0.24</v>
      </c>
      <c r="B28" s="190">
        <v>126.07</v>
      </c>
      <c r="C28" s="190">
        <v>0.74650000000000005</v>
      </c>
      <c r="D28" s="190">
        <v>1.339</v>
      </c>
      <c r="E28" s="190">
        <v>2714.8</v>
      </c>
      <c r="F28" s="190">
        <v>529.6</v>
      </c>
      <c r="G28" s="190">
        <v>2185.1999999999998</v>
      </c>
      <c r="I28" s="243">
        <f t="shared" si="0"/>
        <v>126.07</v>
      </c>
      <c r="J28" s="243">
        <f t="shared" si="1"/>
        <v>0.24</v>
      </c>
      <c r="K28" s="243">
        <f t="shared" si="2"/>
        <v>0.22841099617104296</v>
      </c>
      <c r="L28" s="243">
        <f t="shared" si="3"/>
        <v>-1.0507375039872369</v>
      </c>
      <c r="O28" s="297">
        <v>45</v>
      </c>
      <c r="P28" s="190">
        <v>9579</v>
      </c>
    </row>
    <row r="29" spans="1:17">
      <c r="A29" s="190">
        <v>0.25</v>
      </c>
      <c r="B29" s="190">
        <v>127.41</v>
      </c>
      <c r="C29" s="190">
        <v>0.71850000000000003</v>
      </c>
      <c r="D29" s="190">
        <v>1.3913</v>
      </c>
      <c r="E29" s="190">
        <v>2716.7</v>
      </c>
      <c r="F29" s="190">
        <v>535.29999999999995</v>
      </c>
      <c r="G29" s="190">
        <v>2181.4</v>
      </c>
      <c r="I29" s="243">
        <f t="shared" si="0"/>
        <v>127.41</v>
      </c>
      <c r="J29" s="243">
        <f t="shared" si="1"/>
        <v>0.25</v>
      </c>
      <c r="K29" s="243">
        <f t="shared" si="2"/>
        <v>0.2377864033146101</v>
      </c>
      <c r="L29" s="243">
        <f t="shared" si="3"/>
        <v>-1.0513637302854124</v>
      </c>
      <c r="O29" s="297">
        <v>40</v>
      </c>
      <c r="P29" s="190">
        <v>7375</v>
      </c>
    </row>
    <row r="30" spans="1:17">
      <c r="A30" s="190">
        <v>0.26</v>
      </c>
      <c r="B30" s="190">
        <v>128.69999999999999</v>
      </c>
      <c r="C30" s="190">
        <v>0.6925</v>
      </c>
      <c r="D30" s="190">
        <v>1.4431</v>
      </c>
      <c r="E30" s="190">
        <v>2718.5</v>
      </c>
      <c r="F30" s="190">
        <v>540.79999999999995</v>
      </c>
      <c r="G30" s="190">
        <v>2177.6999999999998</v>
      </c>
      <c r="I30" s="243">
        <f t="shared" si="0"/>
        <v>128.69999999999999</v>
      </c>
      <c r="J30" s="243">
        <f t="shared" si="1"/>
        <v>0.26</v>
      </c>
      <c r="K30" s="243">
        <f t="shared" si="2"/>
        <v>0.24714396872972424</v>
      </c>
      <c r="L30" s="243">
        <f t="shared" si="3"/>
        <v>-1.0520183896712247</v>
      </c>
      <c r="O30" s="297">
        <v>35</v>
      </c>
      <c r="P30" s="190">
        <v>5624</v>
      </c>
    </row>
    <row r="31" spans="1:17">
      <c r="A31" s="190">
        <v>0.27</v>
      </c>
      <c r="B31" s="190">
        <v>129.96</v>
      </c>
      <c r="C31" s="190">
        <v>0.66839999999999999</v>
      </c>
      <c r="D31" s="190">
        <v>1.4951000000000001</v>
      </c>
      <c r="E31" s="190">
        <v>2720.2</v>
      </c>
      <c r="F31" s="190">
        <v>546.20000000000005</v>
      </c>
      <c r="G31" s="190">
        <v>2174</v>
      </c>
      <c r="I31" s="243">
        <f t="shared" si="0"/>
        <v>129.96</v>
      </c>
      <c r="J31" s="243">
        <f t="shared" si="1"/>
        <v>0.27</v>
      </c>
      <c r="K31" s="243">
        <f t="shared" si="2"/>
        <v>0.25660864881310941</v>
      </c>
      <c r="L31" s="243">
        <f t="shared" si="3"/>
        <v>-1.0521858918194285</v>
      </c>
      <c r="O31" s="297">
        <v>30</v>
      </c>
      <c r="P31" s="190">
        <v>4245</v>
      </c>
    </row>
    <row r="32" spans="1:17">
      <c r="A32" s="190">
        <v>0.28000000000000003</v>
      </c>
      <c r="B32" s="190">
        <v>131.18</v>
      </c>
      <c r="C32" s="190">
        <v>0.64610000000000001</v>
      </c>
      <c r="D32" s="190">
        <v>1.5469999999999999</v>
      </c>
      <c r="E32" s="190">
        <v>2721.9</v>
      </c>
      <c r="F32" s="190">
        <v>551.4</v>
      </c>
      <c r="G32" s="190">
        <v>2170.5</v>
      </c>
      <c r="I32" s="243">
        <f t="shared" si="0"/>
        <v>131.18</v>
      </c>
      <c r="J32" s="243">
        <f t="shared" si="1"/>
        <v>0.28000000000000003</v>
      </c>
      <c r="K32" s="243">
        <f t="shared" si="2"/>
        <v>0.26608835606242459</v>
      </c>
      <c r="L32" s="243">
        <f t="shared" si="3"/>
        <v>-1.0522820469991243</v>
      </c>
      <c r="O32" s="297">
        <v>25</v>
      </c>
      <c r="P32" s="190">
        <v>3169</v>
      </c>
    </row>
    <row r="33" spans="1:16">
      <c r="A33" s="190">
        <v>0.28999999999999998</v>
      </c>
      <c r="B33" s="190">
        <v>132.36000000000001</v>
      </c>
      <c r="C33" s="190">
        <v>0.62529999999999997</v>
      </c>
      <c r="D33" s="190">
        <v>1.5985</v>
      </c>
      <c r="E33" s="190">
        <v>2723.5</v>
      </c>
      <c r="F33" s="190">
        <v>556.4</v>
      </c>
      <c r="G33" s="190">
        <v>2167.1</v>
      </c>
      <c r="I33" s="243">
        <f t="shared" si="0"/>
        <v>132.36000000000001</v>
      </c>
      <c r="J33" s="243">
        <f t="shared" si="1"/>
        <v>0.28999999999999998</v>
      </c>
      <c r="K33" s="243">
        <f t="shared" si="2"/>
        <v>0.2755616211464989</v>
      </c>
      <c r="L33" s="243">
        <f t="shared" si="3"/>
        <v>-1.0523961892567946</v>
      </c>
      <c r="O33" s="297">
        <v>20</v>
      </c>
      <c r="P33" s="190">
        <v>2340</v>
      </c>
    </row>
    <row r="34" spans="1:16">
      <c r="A34" s="190">
        <v>0.3</v>
      </c>
      <c r="B34" s="190">
        <v>133.51</v>
      </c>
      <c r="C34" s="190">
        <v>0.60570000000000002</v>
      </c>
      <c r="D34" s="190">
        <v>1.65</v>
      </c>
      <c r="E34" s="190">
        <v>2725.1</v>
      </c>
      <c r="F34" s="190">
        <v>561.4</v>
      </c>
      <c r="G34" s="190">
        <v>2163.6999999999998</v>
      </c>
      <c r="I34" s="243">
        <f t="shared" si="0"/>
        <v>133.51</v>
      </c>
      <c r="J34" s="243">
        <f t="shared" si="1"/>
        <v>0.3</v>
      </c>
      <c r="K34" s="243">
        <f t="shared" si="2"/>
        <v>0.28509056079481676</v>
      </c>
      <c r="L34" s="243">
        <f t="shared" si="3"/>
        <v>-1.0522972039607925</v>
      </c>
      <c r="O34" s="297">
        <v>15</v>
      </c>
      <c r="P34" s="190">
        <v>1706</v>
      </c>
    </row>
    <row r="35" spans="1:16">
      <c r="A35" s="190">
        <v>0.35</v>
      </c>
      <c r="B35" s="190">
        <v>138.84</v>
      </c>
      <c r="C35" s="190">
        <v>0.52410000000000001</v>
      </c>
      <c r="D35" s="190">
        <v>1.9067000000000001</v>
      </c>
      <c r="E35" s="190">
        <v>2732.1</v>
      </c>
      <c r="F35" s="190">
        <v>584.20000000000005</v>
      </c>
      <c r="G35" s="190">
        <v>2147.9</v>
      </c>
      <c r="I35" s="243">
        <f t="shared" si="0"/>
        <v>138.84</v>
      </c>
      <c r="J35" s="243">
        <f t="shared" si="1"/>
        <v>0.35</v>
      </c>
      <c r="K35" s="243">
        <f t="shared" si="2"/>
        <v>0.3333268808534538</v>
      </c>
      <c r="L35" s="243">
        <f t="shared" si="3"/>
        <v>-1.050020325705074</v>
      </c>
      <c r="O35" s="297">
        <v>10</v>
      </c>
      <c r="P35" s="190">
        <v>1229</v>
      </c>
    </row>
    <row r="36" spans="1:16">
      <c r="A36" s="190">
        <v>0.4</v>
      </c>
      <c r="B36" s="190">
        <v>143.59</v>
      </c>
      <c r="C36" s="190">
        <v>0.46239999999999998</v>
      </c>
      <c r="D36" s="190">
        <v>2.1615000000000002</v>
      </c>
      <c r="E36" s="190">
        <v>2738.2</v>
      </c>
      <c r="F36" s="190">
        <v>604.5</v>
      </c>
      <c r="G36" s="190">
        <v>2133.6999999999998</v>
      </c>
      <c r="I36" s="243">
        <f t="shared" si="0"/>
        <v>143.59</v>
      </c>
      <c r="J36" s="243">
        <f t="shared" si="1"/>
        <v>0.4</v>
      </c>
      <c r="K36" s="243">
        <f t="shared" si="2"/>
        <v>0.38250236496855888</v>
      </c>
      <c r="L36" s="243">
        <f t="shared" si="3"/>
        <v>-1.0457451682236774</v>
      </c>
      <c r="O36" s="297">
        <v>5</v>
      </c>
      <c r="P36" s="190">
        <v>873</v>
      </c>
    </row>
    <row r="37" spans="1:16">
      <c r="A37" s="190">
        <v>0.45</v>
      </c>
      <c r="B37" s="190">
        <v>147.88</v>
      </c>
      <c r="C37" s="190">
        <v>0.41389999999999999</v>
      </c>
      <c r="D37" s="190">
        <v>2.4144000000000001</v>
      </c>
      <c r="E37" s="190">
        <v>2743.5</v>
      </c>
      <c r="F37" s="190">
        <v>623</v>
      </c>
      <c r="G37" s="190">
        <v>2120.5</v>
      </c>
      <c r="I37" s="243">
        <f t="shared" si="0"/>
        <v>147.88</v>
      </c>
      <c r="J37" s="243">
        <f t="shared" si="1"/>
        <v>0.45</v>
      </c>
      <c r="K37" s="243">
        <f t="shared" si="2"/>
        <v>0.43254122029220615</v>
      </c>
      <c r="L37" s="243">
        <f t="shared" si="3"/>
        <v>-1.0403632738077528</v>
      </c>
      <c r="O37" s="297">
        <v>0</v>
      </c>
      <c r="P37" s="190">
        <v>611</v>
      </c>
    </row>
    <row r="38" spans="1:16">
      <c r="A38" s="190">
        <v>0.5</v>
      </c>
      <c r="B38" s="190">
        <v>151.81</v>
      </c>
      <c r="C38" s="190">
        <v>0.37469999999999998</v>
      </c>
      <c r="D38" s="190">
        <v>2.6665000000000001</v>
      </c>
      <c r="E38" s="190">
        <v>2748.2</v>
      </c>
      <c r="F38" s="190">
        <v>639.9</v>
      </c>
      <c r="G38" s="190">
        <v>2108.3000000000002</v>
      </c>
      <c r="I38" s="243">
        <f t="shared" si="0"/>
        <v>151.81</v>
      </c>
      <c r="J38" s="243">
        <f t="shared" si="1"/>
        <v>0.5</v>
      </c>
      <c r="K38" s="243">
        <f t="shared" si="2"/>
        <v>0.48357608305896904</v>
      </c>
      <c r="L38" s="243">
        <f t="shared" si="3"/>
        <v>-1.0339634599733258</v>
      </c>
      <c r="O38" s="297">
        <v>-5</v>
      </c>
      <c r="P38" s="190">
        <v>401</v>
      </c>
    </row>
    <row r="39" spans="1:16">
      <c r="A39" s="190">
        <v>0.6</v>
      </c>
      <c r="B39" s="190">
        <v>158.80000000000001</v>
      </c>
      <c r="C39" s="190">
        <v>0.31559999999999999</v>
      </c>
      <c r="D39" s="190">
        <v>3.1665999999999999</v>
      </c>
      <c r="E39" s="190">
        <v>2756.2</v>
      </c>
      <c r="F39" s="190">
        <v>670.2</v>
      </c>
      <c r="G39" s="190">
        <v>2086</v>
      </c>
      <c r="I39" s="243">
        <f t="shared" si="0"/>
        <v>158.80000000000001</v>
      </c>
      <c r="J39" s="243">
        <f t="shared" si="1"/>
        <v>0.6</v>
      </c>
      <c r="K39" s="243">
        <f t="shared" si="2"/>
        <v>0.58819278320817803</v>
      </c>
      <c r="L39" s="243">
        <f t="shared" si="3"/>
        <v>-1.0200737192446019</v>
      </c>
      <c r="O39" s="297">
        <v>-10</v>
      </c>
      <c r="P39" s="190">
        <v>260</v>
      </c>
    </row>
    <row r="40" spans="1:16">
      <c r="A40" s="190">
        <v>0.7</v>
      </c>
      <c r="B40" s="190">
        <v>164.92</v>
      </c>
      <c r="C40" s="190">
        <v>0.27279999999999999</v>
      </c>
      <c r="D40" s="190">
        <v>3.6636000000000002</v>
      </c>
      <c r="E40" s="190">
        <v>2762.8</v>
      </c>
      <c r="F40" s="190">
        <v>696.8</v>
      </c>
      <c r="G40" s="190">
        <v>2066</v>
      </c>
      <c r="I40" s="243">
        <f t="shared" si="0"/>
        <v>164.92</v>
      </c>
      <c r="J40" s="243">
        <f t="shared" si="1"/>
        <v>0.7</v>
      </c>
      <c r="K40" s="243">
        <f t="shared" si="2"/>
        <v>0.69641063787557522</v>
      </c>
      <c r="L40" s="243">
        <f t="shared" si="3"/>
        <v>-1.0051540885925785</v>
      </c>
    </row>
    <row r="41" spans="1:16">
      <c r="A41" s="190">
        <v>0.8</v>
      </c>
      <c r="B41" s="190">
        <v>170.38</v>
      </c>
      <c r="C41" s="190">
        <v>0.24030000000000001</v>
      </c>
      <c r="D41" s="190">
        <v>4.1581000000000001</v>
      </c>
      <c r="E41" s="190">
        <v>2768.3</v>
      </c>
      <c r="F41" s="190">
        <v>720.7</v>
      </c>
      <c r="G41" s="190">
        <v>2047.6</v>
      </c>
      <c r="I41" s="243">
        <f t="shared" si="0"/>
        <v>170.38</v>
      </c>
      <c r="J41" s="243">
        <f t="shared" si="1"/>
        <v>0.8</v>
      </c>
      <c r="K41" s="243">
        <f t="shared" si="2"/>
        <v>0.80805556262639278</v>
      </c>
      <c r="L41" s="243">
        <f t="shared" si="3"/>
        <v>-0.99003092980362628</v>
      </c>
    </row>
    <row r="42" spans="1:16">
      <c r="A42" s="190">
        <v>0.9</v>
      </c>
      <c r="B42" s="190">
        <v>175.33</v>
      </c>
      <c r="C42" s="190">
        <v>0.21490000000000001</v>
      </c>
      <c r="D42" s="190">
        <v>4.6513999999999998</v>
      </c>
      <c r="E42" s="190">
        <v>2773</v>
      </c>
      <c r="F42" s="190">
        <v>742.4</v>
      </c>
      <c r="G42" s="190">
        <v>2030.6</v>
      </c>
      <c r="I42" s="243">
        <f t="shared" si="0"/>
        <v>175.33</v>
      </c>
      <c r="J42" s="243">
        <f t="shared" si="1"/>
        <v>0.9</v>
      </c>
      <c r="K42" s="243">
        <f t="shared" si="2"/>
        <v>0.92321243077918758</v>
      </c>
      <c r="L42" s="243">
        <f t="shared" si="3"/>
        <v>-0.97485689099788619</v>
      </c>
    </row>
    <row r="43" spans="1:16">
      <c r="A43" s="190">
        <v>1</v>
      </c>
      <c r="B43" s="190">
        <v>179.86</v>
      </c>
      <c r="C43" s="190">
        <v>0.1946</v>
      </c>
      <c r="D43" s="190">
        <v>5.1429</v>
      </c>
      <c r="E43" s="190">
        <v>2777.1</v>
      </c>
      <c r="F43" s="190">
        <v>762.4</v>
      </c>
      <c r="G43" s="190">
        <v>2014.7</v>
      </c>
      <c r="I43" s="243">
        <f t="shared" si="0"/>
        <v>179.86</v>
      </c>
      <c r="J43" s="243">
        <f t="shared" si="1"/>
        <v>1</v>
      </c>
      <c r="K43" s="243">
        <f t="shared" si="2"/>
        <v>1.0415870755658323</v>
      </c>
      <c r="L43" s="243">
        <f t="shared" si="3"/>
        <v>-0.96007335676353267</v>
      </c>
    </row>
    <row r="44" spans="1:16">
      <c r="A44" s="190">
        <v>1.1000000000000001</v>
      </c>
      <c r="B44" s="190">
        <v>184.04</v>
      </c>
      <c r="C44" s="190">
        <v>0.17749999999999999</v>
      </c>
      <c r="D44" s="190">
        <v>5.6326999999999998</v>
      </c>
      <c r="E44" s="190">
        <v>2780.6</v>
      </c>
      <c r="F44" s="190">
        <v>780.8</v>
      </c>
      <c r="G44" s="190">
        <v>1999.8</v>
      </c>
      <c r="I44" s="243">
        <f t="shared" si="0"/>
        <v>184.04</v>
      </c>
      <c r="J44" s="243">
        <f t="shared" si="1"/>
        <v>1.1000000000000001</v>
      </c>
      <c r="K44" s="243">
        <f t="shared" si="2"/>
        <v>1.1629969299977221</v>
      </c>
      <c r="L44" s="243">
        <f t="shared" si="3"/>
        <v>-0.94583224738362348</v>
      </c>
    </row>
    <row r="45" spans="1:16">
      <c r="A45" s="190">
        <v>1.2</v>
      </c>
      <c r="B45" s="190">
        <v>187.94</v>
      </c>
      <c r="C45" s="190">
        <v>0.1633</v>
      </c>
      <c r="D45" s="190">
        <v>6.1228999999999996</v>
      </c>
      <c r="E45" s="190">
        <v>2783.7</v>
      </c>
      <c r="F45" s="190">
        <v>798.2</v>
      </c>
      <c r="G45" s="190">
        <v>1985.5</v>
      </c>
      <c r="I45" s="243">
        <f t="shared" si="0"/>
        <v>187.94</v>
      </c>
      <c r="J45" s="243">
        <f t="shared" si="1"/>
        <v>1.2</v>
      </c>
      <c r="K45" s="243">
        <f t="shared" si="2"/>
        <v>1.2878367245590423</v>
      </c>
      <c r="L45" s="243">
        <f t="shared" si="3"/>
        <v>-0.93179513917875123</v>
      </c>
    </row>
    <row r="46" spans="1:16">
      <c r="A46" s="190">
        <v>1.3</v>
      </c>
      <c r="B46" s="190">
        <v>191.59</v>
      </c>
      <c r="C46" s="190">
        <v>0.1512</v>
      </c>
      <c r="D46" s="190">
        <v>6.6123000000000003</v>
      </c>
      <c r="E46" s="190">
        <v>2786.4</v>
      </c>
      <c r="F46" s="190">
        <v>814.4</v>
      </c>
      <c r="G46" s="190">
        <v>1972</v>
      </c>
      <c r="I46" s="243">
        <f t="shared" si="0"/>
        <v>191.59</v>
      </c>
      <c r="J46" s="243">
        <f t="shared" si="1"/>
        <v>1.3</v>
      </c>
      <c r="K46" s="243">
        <f t="shared" si="2"/>
        <v>1.4156840125210879</v>
      </c>
      <c r="L46" s="243">
        <f t="shared" si="3"/>
        <v>-0.91828401571401896</v>
      </c>
    </row>
    <row r="47" spans="1:16">
      <c r="A47" s="190">
        <v>1.4</v>
      </c>
      <c r="B47" s="190">
        <v>195.03</v>
      </c>
      <c r="C47" s="190">
        <v>0.14080000000000001</v>
      </c>
      <c r="D47" s="190">
        <v>7.1020000000000003</v>
      </c>
      <c r="E47" s="190">
        <v>2788.8</v>
      </c>
      <c r="F47" s="190">
        <v>829.8</v>
      </c>
      <c r="G47" s="190">
        <v>1959</v>
      </c>
      <c r="I47" s="243">
        <f t="shared" si="0"/>
        <v>195.03</v>
      </c>
      <c r="J47" s="243">
        <f t="shared" si="1"/>
        <v>1.4</v>
      </c>
      <c r="K47" s="243">
        <f t="shared" si="2"/>
        <v>1.5467222554361801</v>
      </c>
      <c r="L47" s="243">
        <f t="shared" si="3"/>
        <v>-0.90513988214722874</v>
      </c>
    </row>
    <row r="48" spans="1:16">
      <c r="A48" s="190">
        <v>1.5</v>
      </c>
      <c r="B48" s="190">
        <v>198.28</v>
      </c>
      <c r="C48" s="190">
        <v>0.13170000000000001</v>
      </c>
      <c r="D48" s="190">
        <v>7.5911999999999997</v>
      </c>
      <c r="E48" s="190">
        <v>2790.9</v>
      </c>
      <c r="F48" s="190">
        <v>844.4</v>
      </c>
      <c r="G48" s="190">
        <v>1946.5</v>
      </c>
      <c r="I48" s="243">
        <f t="shared" si="0"/>
        <v>198.28</v>
      </c>
      <c r="J48" s="243">
        <f t="shared" si="1"/>
        <v>1.5</v>
      </c>
      <c r="K48" s="243">
        <f t="shared" si="2"/>
        <v>1.6806456370789475</v>
      </c>
      <c r="L48" s="243">
        <f t="shared" si="3"/>
        <v>-0.89251414272379315</v>
      </c>
    </row>
    <row r="49" spans="1:3" s="297" customFormat="1"/>
    <row r="50" spans="1:3" s="297" customFormat="1">
      <c r="A50" s="297">
        <v>0.05</v>
      </c>
      <c r="B50" s="297">
        <v>81.34</v>
      </c>
    </row>
    <row r="51" spans="1:3" s="297" customFormat="1">
      <c r="A51" s="297">
        <v>7.0000000000000007E-2</v>
      </c>
      <c r="B51" s="297">
        <v>89.96</v>
      </c>
    </row>
    <row r="52" spans="1:3" s="297" customFormat="1">
      <c r="A52" s="297">
        <v>0.09</v>
      </c>
      <c r="B52" s="297">
        <v>96.71</v>
      </c>
    </row>
    <row r="53" spans="1:3" s="297" customFormat="1">
      <c r="A53" s="297">
        <v>0.1</v>
      </c>
      <c r="B53" s="297">
        <v>99.63</v>
      </c>
    </row>
    <row r="54" spans="1:3" s="297" customFormat="1"/>
    <row r="55" spans="1:3" s="297" customFormat="1">
      <c r="A55" s="297">
        <f>C55/1000000</f>
        <v>1.5730000000000001E-2</v>
      </c>
      <c r="B55" s="297">
        <v>55</v>
      </c>
      <c r="C55" s="297">
        <v>15730</v>
      </c>
    </row>
    <row r="56" spans="1:3" s="297" customFormat="1">
      <c r="A56" s="297">
        <f t="shared" ref="A56:A68" si="4">C56/1000000</f>
        <v>1.2330000000000001E-2</v>
      </c>
      <c r="B56" s="297">
        <v>50</v>
      </c>
      <c r="C56" s="297">
        <v>12330</v>
      </c>
    </row>
    <row r="57" spans="1:3" s="297" customFormat="1">
      <c r="A57" s="297">
        <f t="shared" si="4"/>
        <v>9.5790000000000007E-3</v>
      </c>
      <c r="B57" s="297">
        <v>45</v>
      </c>
      <c r="C57" s="297">
        <v>9579</v>
      </c>
    </row>
    <row r="58" spans="1:3" s="297" customFormat="1">
      <c r="A58" s="297">
        <f t="shared" si="4"/>
        <v>7.3749999999999996E-3</v>
      </c>
      <c r="B58" s="297">
        <v>40</v>
      </c>
      <c r="C58" s="297">
        <v>7375</v>
      </c>
    </row>
    <row r="59" spans="1:3" s="297" customFormat="1">
      <c r="A59" s="297">
        <f t="shared" si="4"/>
        <v>5.6239999999999997E-3</v>
      </c>
      <c r="B59" s="297">
        <v>35</v>
      </c>
      <c r="C59" s="297">
        <v>5624</v>
      </c>
    </row>
    <row r="60" spans="1:3" s="297" customFormat="1">
      <c r="A60" s="297">
        <f t="shared" si="4"/>
        <v>4.2449999999999996E-3</v>
      </c>
      <c r="B60" s="297">
        <v>30</v>
      </c>
      <c r="C60" s="297">
        <v>4245</v>
      </c>
    </row>
    <row r="61" spans="1:3" s="297" customFormat="1">
      <c r="A61" s="297">
        <f t="shared" si="4"/>
        <v>3.1689999999999999E-3</v>
      </c>
      <c r="B61" s="297">
        <v>25</v>
      </c>
      <c r="C61" s="297">
        <v>3169</v>
      </c>
    </row>
    <row r="62" spans="1:3" s="297" customFormat="1">
      <c r="A62" s="297">
        <f t="shared" si="4"/>
        <v>2.3400000000000001E-3</v>
      </c>
      <c r="B62" s="297">
        <v>20</v>
      </c>
      <c r="C62" s="297">
        <v>2340</v>
      </c>
    </row>
    <row r="63" spans="1:3" s="297" customFormat="1">
      <c r="A63" s="297">
        <f t="shared" si="4"/>
        <v>1.7060000000000001E-3</v>
      </c>
      <c r="B63" s="297">
        <v>15</v>
      </c>
      <c r="C63" s="297">
        <v>1706</v>
      </c>
    </row>
    <row r="64" spans="1:3" s="297" customFormat="1">
      <c r="A64" s="297">
        <f t="shared" si="4"/>
        <v>1.2290000000000001E-3</v>
      </c>
      <c r="B64" s="297">
        <v>10</v>
      </c>
      <c r="C64" s="297">
        <v>1229</v>
      </c>
    </row>
    <row r="65" spans="1:14" s="297" customFormat="1">
      <c r="A65" s="297">
        <f t="shared" si="4"/>
        <v>8.7299999999999997E-4</v>
      </c>
      <c r="B65" s="297">
        <v>5</v>
      </c>
      <c r="C65" s="297">
        <v>873</v>
      </c>
    </row>
    <row r="66" spans="1:14" s="297" customFormat="1">
      <c r="A66" s="297">
        <f t="shared" si="4"/>
        <v>6.11E-4</v>
      </c>
      <c r="B66" s="297">
        <v>0</v>
      </c>
      <c r="C66" s="297">
        <v>611</v>
      </c>
    </row>
    <row r="67" spans="1:14" s="297" customFormat="1">
      <c r="A67" s="297">
        <f t="shared" si="4"/>
        <v>4.0099999999999999E-4</v>
      </c>
      <c r="B67" s="297">
        <v>-5</v>
      </c>
      <c r="C67" s="297">
        <v>401</v>
      </c>
    </row>
    <row r="68" spans="1:14" s="297" customFormat="1">
      <c r="A68" s="297">
        <f t="shared" si="4"/>
        <v>2.5999999999999998E-4</v>
      </c>
      <c r="B68" s="297">
        <v>-10</v>
      </c>
      <c r="C68" s="297">
        <v>260</v>
      </c>
    </row>
    <row r="69" spans="1:14">
      <c r="I69" s="86" t="s">
        <v>913</v>
      </c>
    </row>
    <row r="70" spans="1:14">
      <c r="A70" s="297">
        <f t="shared" ref="A70:A79" si="5">(612.84+41.151*B70+2.12*B70*B70-0.0122*B70*B70*B70+0.0011*B70*B70*B70*B70)*0.000001</f>
        <v>6.1284000000000002E-4</v>
      </c>
      <c r="B70" s="243">
        <v>0</v>
      </c>
    </row>
    <row r="71" spans="1:14">
      <c r="A71" s="297">
        <f t="shared" si="5"/>
        <v>1.23515E-3</v>
      </c>
      <c r="B71" s="297">
        <v>10</v>
      </c>
      <c r="I71" s="190" t="s">
        <v>914</v>
      </c>
    </row>
    <row r="72" spans="1:14">
      <c r="A72" s="297">
        <f t="shared" si="5"/>
        <v>2.3622600000000001E-3</v>
      </c>
      <c r="B72" s="297">
        <v>20</v>
      </c>
    </row>
    <row r="73" spans="1:14">
      <c r="A73" s="297">
        <f t="shared" si="5"/>
        <v>4.3169699999999998E-3</v>
      </c>
      <c r="B73" s="297">
        <v>30</v>
      </c>
      <c r="I73" s="190" t="s">
        <v>915</v>
      </c>
    </row>
    <row r="74" spans="1:14">
      <c r="A74" s="297">
        <f t="shared" si="5"/>
        <v>7.6860800000000005E-3</v>
      </c>
      <c r="B74" s="297">
        <v>40</v>
      </c>
      <c r="I74" s="190" t="s">
        <v>916</v>
      </c>
      <c r="J74" s="265">
        <v>-5674.5358999999999</v>
      </c>
      <c r="N74" s="265">
        <v>-5674.5358999999999</v>
      </c>
    </row>
    <row r="75" spans="1:14">
      <c r="A75" s="297">
        <f t="shared" si="5"/>
        <v>1.332039E-2</v>
      </c>
      <c r="B75" s="297">
        <v>50</v>
      </c>
      <c r="I75" s="190" t="s">
        <v>917</v>
      </c>
      <c r="J75" s="265">
        <v>-0.51523057999999999</v>
      </c>
      <c r="N75" s="265">
        <v>-0.51523057999999999</v>
      </c>
    </row>
    <row r="76" spans="1:14">
      <c r="A76" s="297">
        <f t="shared" si="5"/>
        <v>2.2334699999999999E-2</v>
      </c>
      <c r="B76" s="297">
        <v>60</v>
      </c>
      <c r="I76" s="190" t="s">
        <v>918</v>
      </c>
      <c r="J76" s="265">
        <v>-9.6778430000000002E-3</v>
      </c>
      <c r="N76" s="265">
        <v>-9.6778430000000002E-3</v>
      </c>
    </row>
    <row r="77" spans="1:14">
      <c r="A77" s="297">
        <f t="shared" si="5"/>
        <v>3.6107809999999997E-2</v>
      </c>
      <c r="B77" s="297">
        <v>70</v>
      </c>
      <c r="I77" s="190" t="s">
        <v>919</v>
      </c>
      <c r="J77" s="265">
        <v>6.2215700999999996E-7</v>
      </c>
      <c r="N77" s="265">
        <v>6.2215700999999996E-7</v>
      </c>
    </row>
    <row r="78" spans="1:14">
      <c r="A78" s="297">
        <f t="shared" si="5"/>
        <v>5.6282520000000003E-2</v>
      </c>
      <c r="B78" s="297">
        <v>80</v>
      </c>
      <c r="I78" s="190" t="s">
        <v>920</v>
      </c>
      <c r="J78" s="265">
        <v>2.0747825000000001E-9</v>
      </c>
      <c r="N78" s="265">
        <v>2.0747825000000001E-9</v>
      </c>
    </row>
    <row r="79" spans="1:14">
      <c r="A79" s="297">
        <f t="shared" si="5"/>
        <v>8.4765629999999995E-2</v>
      </c>
      <c r="B79" s="297">
        <v>90</v>
      </c>
      <c r="I79" s="190" t="s">
        <v>921</v>
      </c>
      <c r="J79" s="265">
        <v>-9.4840240000000005E-13</v>
      </c>
      <c r="N79" s="265">
        <v>-9.4840240000000005E-13</v>
      </c>
    </row>
    <row r="80" spans="1:14">
      <c r="A80" s="297">
        <f>(612.84+41.151*B80+2.12*B80*B80-0.0122*B80*B80*B80+0.0011*B80*B80*B80*B80)*0.000001</f>
        <v>0.12372793999999999</v>
      </c>
      <c r="B80" s="297">
        <v>100</v>
      </c>
      <c r="I80" s="190" t="s">
        <v>922</v>
      </c>
      <c r="J80" s="243">
        <v>4.1635019</v>
      </c>
      <c r="N80" s="190">
        <v>4.1635019</v>
      </c>
    </row>
    <row r="81" spans="1:14">
      <c r="I81" s="190" t="s">
        <v>923</v>
      </c>
      <c r="J81" s="266">
        <v>-5800.2205999999996</v>
      </c>
      <c r="N81" s="265">
        <v>-5800.2205999999996</v>
      </c>
    </row>
    <row r="82" spans="1:14">
      <c r="A82" s="190">
        <f>D82*EXP(-5800.2206/(B82+C82)+-5.516256+0.000041764768*(B82+C82)+0.000041764768*(B82+C82)^2+-0.000000014452093*(B82+C82)^3+6.5459673*LN(B82+C82))</f>
        <v>3.5752962426462677E-2</v>
      </c>
      <c r="B82" s="190">
        <v>0</v>
      </c>
      <c r="C82" s="190">
        <v>273</v>
      </c>
      <c r="D82" s="190">
        <v>9.9999999999999995E-8</v>
      </c>
      <c r="I82" s="190" t="s">
        <v>924</v>
      </c>
      <c r="J82" s="244">
        <v>-5.5162560000000003</v>
      </c>
      <c r="N82" s="190">
        <v>-5.5162560000000003</v>
      </c>
    </row>
    <row r="83" spans="1:14">
      <c r="A83" s="243">
        <f t="shared" ref="A83:A92" si="6">D83*EXP(-5800.2206/(B83+C83)+-5.516256+0.000041764768*(B83+C83)+0.000041764768*(B83+C83)^2+-0.000000014452093*(B83+C83)^3+6.5459673*LN(B83+C83))</f>
        <v>0.36279184882072851</v>
      </c>
      <c r="B83" s="190">
        <v>20</v>
      </c>
      <c r="C83" s="243">
        <v>273</v>
      </c>
      <c r="D83" s="190">
        <f>D82</f>
        <v>9.9999999999999995E-8</v>
      </c>
      <c r="I83" s="190" t="s">
        <v>925</v>
      </c>
      <c r="J83" s="266">
        <v>-4.8640239000000002E-2</v>
      </c>
      <c r="N83" s="265">
        <v>-4.8640239000000002E-2</v>
      </c>
    </row>
    <row r="84" spans="1:14">
      <c r="A84" s="243">
        <f t="shared" si="6"/>
        <v>3.0362158686713676</v>
      </c>
      <c r="B84" s="190">
        <v>40</v>
      </c>
      <c r="C84" s="243">
        <v>273</v>
      </c>
      <c r="D84" s="243">
        <f t="shared" ref="D84:D92" si="7">D83</f>
        <v>9.9999999999999995E-8</v>
      </c>
      <c r="I84" s="190" t="s">
        <v>926</v>
      </c>
      <c r="J84" s="266">
        <v>4.1764768000000003E-5</v>
      </c>
      <c r="N84" s="265">
        <v>4.1764768000000003E-5</v>
      </c>
    </row>
    <row r="85" spans="1:14">
      <c r="A85" s="243">
        <f t="shared" si="6"/>
        <v>21.736259004260376</v>
      </c>
      <c r="B85" s="243">
        <v>60</v>
      </c>
      <c r="C85" s="243">
        <v>273</v>
      </c>
      <c r="D85" s="243">
        <f t="shared" si="7"/>
        <v>9.9999999999999995E-8</v>
      </c>
      <c r="I85" s="190" t="s">
        <v>927</v>
      </c>
      <c r="J85" s="266">
        <v>-1.4452092999999999E-8</v>
      </c>
      <c r="N85" s="265">
        <v>-1.4452092999999999E-8</v>
      </c>
    </row>
    <row r="86" spans="1:14">
      <c r="A86" s="243">
        <f t="shared" si="6"/>
        <v>136.92613811801814</v>
      </c>
      <c r="B86" s="243">
        <v>80</v>
      </c>
      <c r="C86" s="243">
        <v>273</v>
      </c>
      <c r="D86" s="243">
        <f t="shared" si="7"/>
        <v>9.9999999999999995E-8</v>
      </c>
      <c r="I86" s="190" t="s">
        <v>928</v>
      </c>
      <c r="J86" s="244">
        <v>6.5459673</v>
      </c>
      <c r="N86" s="190">
        <v>6.5459673</v>
      </c>
    </row>
    <row r="87" spans="1:14">
      <c r="A87" s="243">
        <f t="shared" si="6"/>
        <v>776.03170839524046</v>
      </c>
      <c r="B87" s="243">
        <v>100</v>
      </c>
      <c r="C87" s="243">
        <v>273</v>
      </c>
      <c r="D87" s="243">
        <f t="shared" si="7"/>
        <v>9.9999999999999995E-8</v>
      </c>
    </row>
    <row r="88" spans="1:14">
      <c r="A88" s="243">
        <f t="shared" si="6"/>
        <v>4027.4960836243804</v>
      </c>
      <c r="B88" s="243">
        <v>120</v>
      </c>
      <c r="C88" s="243">
        <v>273</v>
      </c>
      <c r="D88" s="243">
        <f t="shared" si="7"/>
        <v>9.9999999999999995E-8</v>
      </c>
    </row>
    <row r="89" spans="1:14">
      <c r="A89" s="243">
        <f t="shared" si="6"/>
        <v>19414.346157785563</v>
      </c>
      <c r="B89" s="243">
        <v>140</v>
      </c>
      <c r="C89" s="243">
        <v>273</v>
      </c>
      <c r="D89" s="243">
        <f t="shared" si="7"/>
        <v>9.9999999999999995E-8</v>
      </c>
    </row>
    <row r="90" spans="1:14">
      <c r="A90" s="243">
        <f t="shared" si="6"/>
        <v>87932.841118125638</v>
      </c>
      <c r="B90" s="243">
        <v>160</v>
      </c>
      <c r="C90" s="243">
        <v>273</v>
      </c>
      <c r="D90" s="243">
        <f t="shared" si="7"/>
        <v>9.9999999999999995E-8</v>
      </c>
    </row>
    <row r="91" spans="1:14">
      <c r="A91" s="243">
        <f t="shared" si="6"/>
        <v>377763.2846663259</v>
      </c>
      <c r="B91" s="243">
        <v>180</v>
      </c>
      <c r="C91" s="243">
        <v>273</v>
      </c>
      <c r="D91" s="243">
        <f t="shared" si="7"/>
        <v>9.9999999999999995E-8</v>
      </c>
    </row>
    <row r="92" spans="1:14">
      <c r="A92" s="243">
        <f t="shared" si="6"/>
        <v>1551342.7387397413</v>
      </c>
      <c r="B92" s="243">
        <v>200</v>
      </c>
      <c r="C92" s="243">
        <v>273</v>
      </c>
      <c r="D92" s="243">
        <f t="shared" si="7"/>
        <v>9.9999999999999995E-8</v>
      </c>
    </row>
  </sheetData>
  <hyperlinks>
    <hyperlink ref="I69" r:id="rId1"/>
    <hyperlink ref="D1" r:id="rId2"/>
    <hyperlink ref="O23" r:id="rId3"/>
  </hyperlinks>
  <pageMargins left="0.7" right="0.7" top="0.78740157499999996" bottom="0.78740157499999996" header="0.3" footer="0.3"/>
  <drawing r:id="rId4"/>
</worksheet>
</file>

<file path=xl/worksheets/sheet11.xml><?xml version="1.0" encoding="utf-8"?>
<worksheet xmlns="http://schemas.openxmlformats.org/spreadsheetml/2006/main" xmlns:r="http://schemas.openxmlformats.org/officeDocument/2006/relationships">
  <dimension ref="A1:U61"/>
  <sheetViews>
    <sheetView workbookViewId="0">
      <selection activeCell="A63" sqref="A63"/>
    </sheetView>
  </sheetViews>
  <sheetFormatPr defaultRowHeight="15"/>
  <cols>
    <col min="1" max="21" width="6.7109375" style="190" customWidth="1"/>
    <col min="22" max="16384" width="9.140625" style="190"/>
  </cols>
  <sheetData>
    <row r="1" spans="1:21">
      <c r="A1" s="190" t="s">
        <v>394</v>
      </c>
      <c r="B1" s="190" t="s">
        <v>393</v>
      </c>
      <c r="E1" s="2" t="s">
        <v>171</v>
      </c>
      <c r="F1" s="1"/>
      <c r="G1" s="1"/>
      <c r="M1" s="190" t="s">
        <v>407</v>
      </c>
      <c r="T1" s="190" t="s">
        <v>406</v>
      </c>
    </row>
    <row r="2" spans="1:21" ht="15.75" thickBot="1">
      <c r="A2" s="190">
        <v>1</v>
      </c>
      <c r="B2" s="190" t="s">
        <v>392</v>
      </c>
      <c r="E2" s="8" t="s">
        <v>2</v>
      </c>
      <c r="F2" s="9" t="s">
        <v>1</v>
      </c>
      <c r="G2" s="1" t="s">
        <v>172</v>
      </c>
      <c r="J2" s="190" t="s">
        <v>15</v>
      </c>
      <c r="K2" s="190" t="s">
        <v>1</v>
      </c>
      <c r="M2" s="190" t="s">
        <v>244</v>
      </c>
      <c r="N2" s="201">
        <v>0.2</v>
      </c>
      <c r="O2" s="201">
        <v>0.3</v>
      </c>
      <c r="P2" s="201">
        <v>0.4</v>
      </c>
      <c r="Q2" s="201">
        <v>0.5</v>
      </c>
      <c r="R2" s="201">
        <v>0.6</v>
      </c>
      <c r="S2" s="201">
        <v>0.7</v>
      </c>
    </row>
    <row r="3" spans="1:21">
      <c r="A3" s="190">
        <v>2</v>
      </c>
      <c r="B3" s="190" t="s">
        <v>391</v>
      </c>
      <c r="E3" s="3">
        <v>1000</v>
      </c>
      <c r="F3" s="3">
        <v>104</v>
      </c>
      <c r="G3" s="1">
        <f>E3/1000/SQRT(F3/104)</f>
        <v>1</v>
      </c>
      <c r="J3" s="154">
        <v>0.22</v>
      </c>
      <c r="K3" s="190">
        <f>10*0.05*J3^2</f>
        <v>2.4199999999999999E-2</v>
      </c>
      <c r="M3" s="154">
        <v>0.23200000000000001</v>
      </c>
      <c r="N3" s="165">
        <f t="shared" ref="N3:S7" si="0">$M3*N$2/SQRT($M3^2+N$2^2)</f>
        <v>0.15148199232011536</v>
      </c>
      <c r="O3" s="166">
        <f t="shared" si="0"/>
        <v>0.1835242923141128</v>
      </c>
      <c r="P3" s="166">
        <f t="shared" si="0"/>
        <v>0.20068723590873838</v>
      </c>
      <c r="Q3" s="166">
        <f t="shared" si="0"/>
        <v>0.21044904081092897</v>
      </c>
      <c r="R3" s="166">
        <f t="shared" si="0"/>
        <v>0.21638711573013208</v>
      </c>
      <c r="S3" s="167">
        <f t="shared" si="0"/>
        <v>0.22022004139796755</v>
      </c>
    </row>
    <row r="4" spans="1:21">
      <c r="A4" s="190">
        <v>3</v>
      </c>
      <c r="B4" s="190" t="s">
        <v>390</v>
      </c>
      <c r="M4" s="154">
        <v>0.38</v>
      </c>
      <c r="N4" s="179">
        <f t="shared" si="0"/>
        <v>0.1769836444763965</v>
      </c>
      <c r="O4" s="180">
        <f t="shared" si="0"/>
        <v>0.23546482966002785</v>
      </c>
      <c r="P4" s="180">
        <f t="shared" si="0"/>
        <v>0.27549978476587728</v>
      </c>
      <c r="Q4" s="180">
        <f t="shared" si="0"/>
        <v>0.30254163376677895</v>
      </c>
      <c r="R4" s="180">
        <f t="shared" si="0"/>
        <v>0.32103124871060684</v>
      </c>
      <c r="S4" s="202">
        <f t="shared" si="0"/>
        <v>0.33396430403296384</v>
      </c>
    </row>
    <row r="5" spans="1:21">
      <c r="A5" s="190">
        <v>4</v>
      </c>
      <c r="B5" s="190" t="s">
        <v>389</v>
      </c>
      <c r="E5" s="154">
        <v>90</v>
      </c>
      <c r="F5" s="190">
        <f>104*(E5/1000/G5)^2</f>
        <v>5.8337950138504144</v>
      </c>
      <c r="G5" s="154">
        <v>0.38</v>
      </c>
      <c r="M5" s="154">
        <v>0.57999999999999996</v>
      </c>
      <c r="N5" s="179">
        <f t="shared" si="0"/>
        <v>0.18907459632525442</v>
      </c>
      <c r="O5" s="180">
        <f t="shared" si="0"/>
        <v>0.26646529294678462</v>
      </c>
      <c r="P5" s="180">
        <f t="shared" si="0"/>
        <v>0.32928511436612251</v>
      </c>
      <c r="Q5" s="180">
        <f t="shared" si="0"/>
        <v>0.37870498080028836</v>
      </c>
      <c r="R5" s="180">
        <f t="shared" si="0"/>
        <v>0.41701325810848494</v>
      </c>
      <c r="S5" s="202">
        <f t="shared" si="0"/>
        <v>0.44661250532522606</v>
      </c>
    </row>
    <row r="6" spans="1:21">
      <c r="A6" s="190">
        <v>5</v>
      </c>
      <c r="B6" s="190" t="s">
        <v>388</v>
      </c>
      <c r="M6" s="154">
        <v>0.7</v>
      </c>
      <c r="N6" s="179">
        <f t="shared" si="0"/>
        <v>0.19230478952816465</v>
      </c>
      <c r="O6" s="180">
        <f t="shared" si="0"/>
        <v>0.27574350900541739</v>
      </c>
      <c r="P6" s="180">
        <f t="shared" si="0"/>
        <v>0.34729725684978369</v>
      </c>
      <c r="Q6" s="180">
        <f t="shared" si="0"/>
        <v>0.40686673560336745</v>
      </c>
      <c r="R6" s="180">
        <f t="shared" si="0"/>
        <v>0.45555396141917798</v>
      </c>
      <c r="S6" s="202">
        <f t="shared" si="0"/>
        <v>0.49497474683058323</v>
      </c>
    </row>
    <row r="7" spans="1:21">
      <c r="A7" s="190">
        <v>6</v>
      </c>
      <c r="B7" s="190" t="s">
        <v>387</v>
      </c>
      <c r="M7" s="154">
        <v>0.84</v>
      </c>
      <c r="N7" s="168">
        <f t="shared" si="0"/>
        <v>0.19456124293707341</v>
      </c>
      <c r="O7" s="169">
        <f t="shared" si="0"/>
        <v>0.28252257347845128</v>
      </c>
      <c r="P7" s="169">
        <f t="shared" si="0"/>
        <v>0.36114420752957216</v>
      </c>
      <c r="Q7" s="169">
        <f t="shared" si="0"/>
        <v>0.42964644220485337</v>
      </c>
      <c r="R7" s="169">
        <f t="shared" si="0"/>
        <v>0.48824008272404101</v>
      </c>
      <c r="S7" s="170">
        <f t="shared" si="0"/>
        <v>0.53775489571816315</v>
      </c>
    </row>
    <row r="8" spans="1:21">
      <c r="A8" s="190">
        <v>7</v>
      </c>
      <c r="B8" s="190" t="s">
        <v>386</v>
      </c>
    </row>
    <row r="9" spans="1:21">
      <c r="A9" s="86" t="s">
        <v>403</v>
      </c>
      <c r="G9" s="86" t="s">
        <v>402</v>
      </c>
    </row>
    <row r="10" spans="1:21">
      <c r="A10" s="86"/>
      <c r="D10" s="86" t="s">
        <v>401</v>
      </c>
    </row>
    <row r="11" spans="1:21">
      <c r="D11" s="154">
        <v>65</v>
      </c>
      <c r="E11" s="190" t="s">
        <v>404</v>
      </c>
      <c r="L11" s="86"/>
      <c r="N11" s="190">
        <v>2.7</v>
      </c>
      <c r="O11" s="190">
        <f>F13/M13^N11</f>
        <v>4.9482505411228177E-4</v>
      </c>
      <c r="T11" s="190" t="s">
        <v>400</v>
      </c>
      <c r="U11" s="190" t="s">
        <v>399</v>
      </c>
    </row>
    <row r="12" spans="1:21">
      <c r="B12" s="190" t="s">
        <v>382</v>
      </c>
      <c r="C12" s="190" t="s">
        <v>381</v>
      </c>
      <c r="D12" s="190" t="s">
        <v>398</v>
      </c>
      <c r="E12" s="190" t="s">
        <v>397</v>
      </c>
      <c r="F12" s="190" t="s">
        <v>396</v>
      </c>
      <c r="G12" s="190" t="s">
        <v>395</v>
      </c>
      <c r="H12" s="198" t="s">
        <v>394</v>
      </c>
      <c r="I12" s="197" t="s">
        <v>393</v>
      </c>
      <c r="T12" s="190">
        <f t="shared" ref="T12:U18" si="1">E13/D13</f>
        <v>1.1021695775958336</v>
      </c>
      <c r="U12" s="190">
        <f t="shared" si="1"/>
        <v>1.0689655172413792</v>
      </c>
    </row>
    <row r="13" spans="1:21">
      <c r="A13" s="190">
        <v>1</v>
      </c>
      <c r="B13" s="190">
        <v>60</v>
      </c>
      <c r="C13" s="190">
        <v>13</v>
      </c>
      <c r="D13" s="1">
        <f>B13/1000/SQRT(C13*D$11/10400)</f>
        <v>0.21049392463368699</v>
      </c>
      <c r="E13" s="190">
        <f t="shared" ref="E13:E19" si="2">D30</f>
        <v>0.23200000000000001</v>
      </c>
      <c r="F13" s="190">
        <f t="shared" ref="F13:F19" si="3">D47</f>
        <v>0.248</v>
      </c>
      <c r="G13" s="190">
        <f t="shared" ref="G13:G19" si="4">O$11*M13^N$11</f>
        <v>0.24800000000000003</v>
      </c>
      <c r="H13" s="196">
        <v>1</v>
      </c>
      <c r="I13" s="195" t="s">
        <v>392</v>
      </c>
      <c r="K13" s="190">
        <v>14</v>
      </c>
      <c r="L13" s="190">
        <v>2</v>
      </c>
      <c r="M13" s="190">
        <f t="shared" ref="M13:M19" si="5">K13-2*L13</f>
        <v>10</v>
      </c>
      <c r="N13" s="190">
        <f t="shared" ref="N13:N19" si="6">F13/G13</f>
        <v>0.99999999999999989</v>
      </c>
      <c r="T13" s="190">
        <f t="shared" si="1"/>
        <v>1.1046511627906979</v>
      </c>
      <c r="U13" s="190">
        <f t="shared" si="1"/>
        <v>1.0526315789473684</v>
      </c>
    </row>
    <row r="14" spans="1:21">
      <c r="A14" s="190">
        <v>2</v>
      </c>
      <c r="B14" s="190">
        <v>86</v>
      </c>
      <c r="C14" s="190">
        <v>10</v>
      </c>
      <c r="D14" s="1">
        <f t="shared" ref="D14:D61" si="7">B14/1000/SQRT(C14*D$11/10400)</f>
        <v>0.34399999999999997</v>
      </c>
      <c r="E14" s="190">
        <f t="shared" si="2"/>
        <v>0.38</v>
      </c>
      <c r="F14" s="190">
        <f t="shared" si="3"/>
        <v>0.4</v>
      </c>
      <c r="G14" s="190">
        <f t="shared" si="4"/>
        <v>0.40573366609726702</v>
      </c>
      <c r="H14" s="196">
        <v>2</v>
      </c>
      <c r="I14" s="195" t="s">
        <v>391</v>
      </c>
      <c r="K14" s="190">
        <v>16</v>
      </c>
      <c r="L14" s="190">
        <v>2</v>
      </c>
      <c r="M14" s="190">
        <f t="shared" si="5"/>
        <v>12</v>
      </c>
      <c r="N14" s="190">
        <f t="shared" si="6"/>
        <v>0.98586839945420635</v>
      </c>
      <c r="T14" s="190">
        <f t="shared" si="1"/>
        <v>1.074074074074074</v>
      </c>
      <c r="U14" s="190">
        <f t="shared" si="1"/>
        <v>1.0689655172413794</v>
      </c>
    </row>
    <row r="15" spans="1:21">
      <c r="A15" s="190">
        <v>3</v>
      </c>
      <c r="B15" s="190">
        <v>135</v>
      </c>
      <c r="C15" s="190">
        <v>10</v>
      </c>
      <c r="D15" s="1">
        <f t="shared" si="7"/>
        <v>0.54</v>
      </c>
      <c r="E15" s="190">
        <f t="shared" si="2"/>
        <v>0.57999999999999996</v>
      </c>
      <c r="F15" s="190">
        <f t="shared" si="3"/>
        <v>0.62</v>
      </c>
      <c r="G15" s="190">
        <f t="shared" si="4"/>
        <v>0.61517315747224199</v>
      </c>
      <c r="H15" s="196">
        <v>3</v>
      </c>
      <c r="I15" s="195" t="s">
        <v>390</v>
      </c>
      <c r="K15" s="190">
        <v>18</v>
      </c>
      <c r="L15" s="190">
        <v>2</v>
      </c>
      <c r="M15" s="190">
        <f t="shared" si="5"/>
        <v>14</v>
      </c>
      <c r="N15" s="190">
        <f t="shared" si="6"/>
        <v>1.0078463152514514</v>
      </c>
      <c r="T15" s="190">
        <f t="shared" si="1"/>
        <v>1.09375</v>
      </c>
      <c r="U15" s="190">
        <f t="shared" si="1"/>
        <v>1.0285714285714287</v>
      </c>
    </row>
    <row r="16" spans="1:21">
      <c r="A16" s="190">
        <v>4</v>
      </c>
      <c r="B16" s="190">
        <v>160</v>
      </c>
      <c r="C16" s="190">
        <v>10</v>
      </c>
      <c r="D16" s="1">
        <f t="shared" si="7"/>
        <v>0.64</v>
      </c>
      <c r="E16" s="190">
        <f t="shared" si="2"/>
        <v>0.7</v>
      </c>
      <c r="F16" s="190">
        <f t="shared" si="3"/>
        <v>0.72</v>
      </c>
      <c r="G16" s="190">
        <f t="shared" si="4"/>
        <v>0.74113629188838048</v>
      </c>
      <c r="H16" s="196">
        <v>4</v>
      </c>
      <c r="I16" s="195" t="s">
        <v>389</v>
      </c>
      <c r="K16" s="190">
        <v>20</v>
      </c>
      <c r="L16" s="190">
        <v>2.5</v>
      </c>
      <c r="M16" s="190">
        <f t="shared" si="5"/>
        <v>15</v>
      </c>
      <c r="N16" s="190">
        <f t="shared" si="6"/>
        <v>0.97148123480159598</v>
      </c>
      <c r="T16" s="190">
        <f t="shared" si="1"/>
        <v>1.1052631578947367</v>
      </c>
      <c r="U16" s="190">
        <f t="shared" si="1"/>
        <v>1.0476190476190477</v>
      </c>
    </row>
    <row r="17" spans="1:21">
      <c r="A17" s="190">
        <v>5</v>
      </c>
      <c r="B17" s="190">
        <v>190</v>
      </c>
      <c r="C17" s="190">
        <v>10</v>
      </c>
      <c r="D17" s="1">
        <f t="shared" si="7"/>
        <v>0.76</v>
      </c>
      <c r="E17" s="190">
        <f t="shared" si="2"/>
        <v>0.84</v>
      </c>
      <c r="F17" s="190">
        <f t="shared" si="3"/>
        <v>0.88</v>
      </c>
      <c r="G17" s="190">
        <f t="shared" si="4"/>
        <v>0.88221743020130727</v>
      </c>
      <c r="H17" s="196">
        <v>5</v>
      </c>
      <c r="I17" s="195" t="s">
        <v>388</v>
      </c>
      <c r="K17" s="190">
        <v>20</v>
      </c>
      <c r="L17" s="190">
        <v>2</v>
      </c>
      <c r="M17" s="190">
        <f t="shared" si="5"/>
        <v>16</v>
      </c>
      <c r="N17" s="190">
        <f t="shared" si="6"/>
        <v>0.99748652642149538</v>
      </c>
      <c r="T17" s="190">
        <f t="shared" si="1"/>
        <v>1.1014492753623188</v>
      </c>
      <c r="U17" s="190">
        <f t="shared" si="1"/>
        <v>1.0526315789473684</v>
      </c>
    </row>
    <row r="18" spans="1:21">
      <c r="A18" s="190">
        <v>6</v>
      </c>
      <c r="B18" s="190">
        <v>345</v>
      </c>
      <c r="C18" s="190">
        <v>10</v>
      </c>
      <c r="D18" s="1">
        <f t="shared" si="7"/>
        <v>1.38</v>
      </c>
      <c r="E18" s="190">
        <f t="shared" si="2"/>
        <v>1.52</v>
      </c>
      <c r="F18" s="190">
        <f t="shared" si="3"/>
        <v>1.6</v>
      </c>
      <c r="G18" s="190">
        <f t="shared" si="4"/>
        <v>1.6115087543707705</v>
      </c>
      <c r="H18" s="196">
        <v>6</v>
      </c>
      <c r="I18" s="195" t="s">
        <v>387</v>
      </c>
      <c r="K18" s="190">
        <v>26</v>
      </c>
      <c r="L18" s="190">
        <v>3</v>
      </c>
      <c r="M18" s="190">
        <f t="shared" si="5"/>
        <v>20</v>
      </c>
      <c r="N18" s="190">
        <f t="shared" si="6"/>
        <v>0.99285839785880403</v>
      </c>
      <c r="T18" s="190">
        <f t="shared" si="1"/>
        <v>1.1142857142857143</v>
      </c>
      <c r="U18" s="190">
        <f t="shared" si="1"/>
        <v>1.0512820512820511</v>
      </c>
    </row>
    <row r="19" spans="1:21">
      <c r="A19" s="190">
        <v>7</v>
      </c>
      <c r="B19" s="190">
        <v>700</v>
      </c>
      <c r="C19" s="190">
        <v>10</v>
      </c>
      <c r="D19" s="1">
        <f t="shared" si="7"/>
        <v>2.8</v>
      </c>
      <c r="E19" s="190">
        <f t="shared" si="2"/>
        <v>3.12</v>
      </c>
      <c r="F19" s="190">
        <f t="shared" si="3"/>
        <v>3.28</v>
      </c>
      <c r="G19" s="190">
        <f t="shared" si="4"/>
        <v>3.2725004907277939</v>
      </c>
      <c r="H19" s="194">
        <v>7</v>
      </c>
      <c r="I19" s="193" t="s">
        <v>386</v>
      </c>
      <c r="K19" s="190">
        <v>32</v>
      </c>
      <c r="L19" s="190">
        <v>3</v>
      </c>
      <c r="M19" s="190">
        <f t="shared" si="5"/>
        <v>26</v>
      </c>
      <c r="N19" s="190">
        <f t="shared" si="6"/>
        <v>1.0022916755225721</v>
      </c>
    </row>
    <row r="20" spans="1:21">
      <c r="D20" s="1"/>
    </row>
    <row r="21" spans="1:21">
      <c r="A21" s="190">
        <v>1</v>
      </c>
      <c r="B21" s="190">
        <v>550</v>
      </c>
      <c r="C21" s="190">
        <v>600</v>
      </c>
      <c r="D21" s="1">
        <f t="shared" si="7"/>
        <v>0.28401877872187725</v>
      </c>
      <c r="E21" s="190">
        <f t="shared" ref="E21:E27" si="8">D38</f>
        <v>0.30983866769659335</v>
      </c>
      <c r="F21" s="190">
        <f t="shared" ref="F21:F27" si="9">D55</f>
        <v>0.33565855667130945</v>
      </c>
      <c r="G21" s="190">
        <f t="shared" ref="G21:I27" si="10">D21/D13</f>
        <v>1.3492967990223101</v>
      </c>
      <c r="H21" s="190">
        <f t="shared" si="10"/>
        <v>1.3355114986922128</v>
      </c>
      <c r="I21" s="190">
        <f t="shared" si="10"/>
        <v>1.3534619220617317</v>
      </c>
      <c r="U21" s="190" t="s">
        <v>385</v>
      </c>
    </row>
    <row r="22" spans="1:21">
      <c r="A22" s="190">
        <v>2</v>
      </c>
      <c r="B22" s="190">
        <v>900</v>
      </c>
      <c r="C22" s="190">
        <v>600</v>
      </c>
      <c r="D22" s="1">
        <f t="shared" si="7"/>
        <v>0.46475800154489</v>
      </c>
      <c r="E22" s="190">
        <f t="shared" si="8"/>
        <v>0.5163977794943222</v>
      </c>
      <c r="F22" s="190">
        <f t="shared" si="9"/>
        <v>0.54221766846903841</v>
      </c>
      <c r="G22" s="190">
        <f t="shared" si="10"/>
        <v>1.3510407021653781</v>
      </c>
      <c r="H22" s="190">
        <f t="shared" si="10"/>
        <v>1.3589415249850585</v>
      </c>
      <c r="I22" s="190">
        <f t="shared" si="10"/>
        <v>1.355544171172596</v>
      </c>
    </row>
    <row r="23" spans="1:21">
      <c r="A23" s="190">
        <v>3</v>
      </c>
      <c r="B23" s="190">
        <v>1400</v>
      </c>
      <c r="C23" s="190">
        <v>600</v>
      </c>
      <c r="D23" s="1">
        <f t="shared" si="7"/>
        <v>0.7229568912920511</v>
      </c>
      <c r="E23" s="190">
        <f t="shared" si="8"/>
        <v>0.78492462483136982</v>
      </c>
      <c r="F23" s="190">
        <f t="shared" si="9"/>
        <v>0.8262364471909156</v>
      </c>
      <c r="G23" s="190">
        <f t="shared" si="10"/>
        <v>1.3388090579482428</v>
      </c>
      <c r="H23" s="190">
        <f t="shared" si="10"/>
        <v>1.3533183186747757</v>
      </c>
      <c r="I23" s="190">
        <f t="shared" si="10"/>
        <v>1.3326394309530898</v>
      </c>
      <c r="U23" s="190" t="s">
        <v>384</v>
      </c>
    </row>
    <row r="24" spans="1:21">
      <c r="A24" s="190">
        <v>4</v>
      </c>
      <c r="B24" s="190">
        <v>1650</v>
      </c>
      <c r="C24" s="190">
        <v>600</v>
      </c>
      <c r="D24" s="1">
        <f t="shared" si="7"/>
        <v>0.85205633616563159</v>
      </c>
      <c r="E24" s="190">
        <f t="shared" si="8"/>
        <v>0.92951600308978</v>
      </c>
      <c r="F24" s="190">
        <f t="shared" si="9"/>
        <v>0.98115578103921219</v>
      </c>
      <c r="G24" s="190">
        <f t="shared" si="10"/>
        <v>1.3313380252587994</v>
      </c>
      <c r="H24" s="190">
        <f t="shared" si="10"/>
        <v>1.3278800044139716</v>
      </c>
      <c r="I24" s="190">
        <f t="shared" si="10"/>
        <v>1.3627163625544614</v>
      </c>
    </row>
    <row r="25" spans="1:21">
      <c r="A25" s="190">
        <v>5</v>
      </c>
      <c r="B25" s="190">
        <v>2000</v>
      </c>
      <c r="C25" s="190">
        <v>600</v>
      </c>
      <c r="D25" s="1">
        <f t="shared" si="7"/>
        <v>1.0327955589886444</v>
      </c>
      <c r="E25" s="190">
        <f t="shared" si="8"/>
        <v>1.1102552259127927</v>
      </c>
      <c r="F25" s="190">
        <f t="shared" si="9"/>
        <v>1.187714892836941</v>
      </c>
      <c r="G25" s="190">
        <f t="shared" si="10"/>
        <v>1.3589415249850585</v>
      </c>
      <c r="H25" s="190">
        <f t="shared" si="10"/>
        <v>1.3217324118009437</v>
      </c>
      <c r="I25" s="190">
        <f t="shared" si="10"/>
        <v>1.3496760145874329</v>
      </c>
    </row>
    <row r="26" spans="1:21">
      <c r="A26" s="190">
        <v>6</v>
      </c>
      <c r="B26" s="190">
        <v>3000</v>
      </c>
      <c r="C26" s="190">
        <v>440</v>
      </c>
      <c r="D26" s="1">
        <f t="shared" si="7"/>
        <v>1.8090680674665818</v>
      </c>
      <c r="E26" s="190">
        <f t="shared" si="8"/>
        <v>1.9727878476642875</v>
      </c>
      <c r="F26" s="190">
        <f t="shared" si="9"/>
        <v>2.0579830217101058</v>
      </c>
      <c r="G26" s="190">
        <f t="shared" si="10"/>
        <v>1.3109188894685375</v>
      </c>
      <c r="H26" s="190">
        <f t="shared" si="10"/>
        <v>1.2978867418843996</v>
      </c>
      <c r="I26" s="190">
        <f t="shared" si="10"/>
        <v>1.2862393885688161</v>
      </c>
    </row>
    <row r="27" spans="1:21">
      <c r="A27" s="190">
        <v>7</v>
      </c>
      <c r="B27" s="190">
        <v>3000</v>
      </c>
      <c r="C27" s="190">
        <v>130</v>
      </c>
      <c r="D27" s="1">
        <f t="shared" si="7"/>
        <v>3.3282011773513749</v>
      </c>
      <c r="E27" s="190">
        <f t="shared" si="8"/>
        <v>3.7032803990902057</v>
      </c>
      <c r="F27" s="190">
        <f t="shared" si="9"/>
        <v>3.8933141071383011</v>
      </c>
      <c r="G27" s="190">
        <f t="shared" si="10"/>
        <v>1.1886432776254912</v>
      </c>
      <c r="H27" s="190">
        <f t="shared" si="10"/>
        <v>1.1869488458622455</v>
      </c>
      <c r="I27" s="190">
        <f t="shared" si="10"/>
        <v>1.1869860082738724</v>
      </c>
    </row>
    <row r="28" spans="1:21">
      <c r="D28" s="1"/>
      <c r="M28" s="181">
        <v>28250</v>
      </c>
      <c r="N28" s="180" t="s">
        <v>374</v>
      </c>
    </row>
    <row r="29" spans="1:21">
      <c r="A29" s="190" t="s">
        <v>166</v>
      </c>
      <c r="B29" s="190" t="s">
        <v>382</v>
      </c>
      <c r="C29" s="190" t="s">
        <v>381</v>
      </c>
      <c r="D29" s="1"/>
      <c r="M29" s="181">
        <v>1.25</v>
      </c>
      <c r="N29" s="180" t="s">
        <v>372</v>
      </c>
    </row>
    <row r="30" spans="1:21">
      <c r="A30" s="190">
        <v>1</v>
      </c>
      <c r="B30" s="190">
        <v>58</v>
      </c>
      <c r="C30" s="190">
        <v>10</v>
      </c>
      <c r="D30" s="1">
        <f t="shared" si="7"/>
        <v>0.23200000000000001</v>
      </c>
      <c r="I30" s="190" t="s">
        <v>560</v>
      </c>
      <c r="M30" s="181">
        <v>1.75</v>
      </c>
      <c r="N30" s="180" t="s">
        <v>373</v>
      </c>
    </row>
    <row r="31" spans="1:21">
      <c r="A31" s="190">
        <v>2</v>
      </c>
      <c r="B31" s="190">
        <v>95</v>
      </c>
      <c r="C31" s="190">
        <v>10</v>
      </c>
      <c r="D31" s="1">
        <f t="shared" si="7"/>
        <v>0.38</v>
      </c>
      <c r="I31" s="211" t="s">
        <v>561</v>
      </c>
      <c r="J31" s="92" t="s">
        <v>382</v>
      </c>
      <c r="K31" s="92" t="s">
        <v>381</v>
      </c>
      <c r="L31" s="92" t="s">
        <v>15</v>
      </c>
      <c r="M31" s="92" t="s">
        <v>14</v>
      </c>
    </row>
    <row r="32" spans="1:21">
      <c r="A32" s="190">
        <v>3</v>
      </c>
      <c r="B32" s="190">
        <v>145</v>
      </c>
      <c r="C32" s="190">
        <v>10</v>
      </c>
      <c r="D32" s="1">
        <f t="shared" si="7"/>
        <v>0.57999999999999996</v>
      </c>
      <c r="I32" s="190">
        <v>10</v>
      </c>
      <c r="J32" s="190">
        <v>58</v>
      </c>
      <c r="K32" s="190">
        <v>10</v>
      </c>
      <c r="L32" s="190">
        <f>J32/3.6/(I32*I32*3.14/4)</f>
        <v>0.20523708421797593</v>
      </c>
      <c r="M32" s="190">
        <f>M$28/I32^M$29*L32^M$30</f>
        <v>99.418261674739739</v>
      </c>
      <c r="N32" s="190">
        <f>M32/K32</f>
        <v>9.9418261674739732</v>
      </c>
    </row>
    <row r="33" spans="1:14">
      <c r="A33" s="190">
        <v>4</v>
      </c>
      <c r="B33" s="190">
        <v>175</v>
      </c>
      <c r="C33" s="190">
        <v>10</v>
      </c>
      <c r="D33" s="1">
        <f t="shared" si="7"/>
        <v>0.7</v>
      </c>
      <c r="I33" s="190">
        <v>12</v>
      </c>
      <c r="J33" s="190">
        <v>95</v>
      </c>
      <c r="K33" s="190">
        <v>10</v>
      </c>
      <c r="L33" s="190">
        <f t="shared" ref="L33:L46" si="11">J33/3.6/(I33*I33*3.14/4)</f>
        <v>0.23344735393567664</v>
      </c>
      <c r="M33" s="190">
        <f t="shared" ref="M33:M46" si="12">M$28/I33^M$29*L33^M$30</f>
        <v>99.168231192423505</v>
      </c>
      <c r="N33" s="190">
        <f t="shared" ref="N33:N46" si="13">M33/K33</f>
        <v>9.9168231192423502</v>
      </c>
    </row>
    <row r="34" spans="1:14">
      <c r="A34" s="190">
        <v>5</v>
      </c>
      <c r="B34" s="190">
        <v>210</v>
      </c>
      <c r="C34" s="190">
        <v>10</v>
      </c>
      <c r="D34" s="1">
        <f t="shared" si="7"/>
        <v>0.84</v>
      </c>
      <c r="I34" s="190">
        <v>14</v>
      </c>
      <c r="J34" s="190">
        <v>145</v>
      </c>
      <c r="K34" s="190">
        <v>10</v>
      </c>
      <c r="L34" s="190">
        <f t="shared" si="11"/>
        <v>0.26178199517598971</v>
      </c>
      <c r="M34" s="190">
        <f t="shared" si="12"/>
        <v>99.943144837769651</v>
      </c>
      <c r="N34" s="190">
        <f t="shared" si="13"/>
        <v>9.9943144837769644</v>
      </c>
    </row>
    <row r="35" spans="1:14">
      <c r="A35" s="190">
        <v>6</v>
      </c>
      <c r="B35" s="190">
        <v>380</v>
      </c>
      <c r="C35" s="190">
        <v>10</v>
      </c>
      <c r="D35" s="1">
        <f t="shared" si="7"/>
        <v>1.52</v>
      </c>
      <c r="I35" s="190">
        <v>15</v>
      </c>
      <c r="J35" s="190">
        <v>175</v>
      </c>
      <c r="K35" s="190">
        <v>10</v>
      </c>
      <c r="L35" s="190">
        <f t="shared" si="11"/>
        <v>0.27522214358732405</v>
      </c>
      <c r="M35" s="190">
        <f t="shared" si="12"/>
        <v>100.08068776087971</v>
      </c>
      <c r="N35" s="190">
        <f t="shared" si="13"/>
        <v>10.008068776087971</v>
      </c>
    </row>
    <row r="36" spans="1:14">
      <c r="A36" s="190">
        <v>7</v>
      </c>
      <c r="B36" s="190">
        <v>780</v>
      </c>
      <c r="C36" s="190">
        <v>10</v>
      </c>
      <c r="D36" s="1">
        <f t="shared" si="7"/>
        <v>3.12</v>
      </c>
      <c r="I36" s="190">
        <v>16</v>
      </c>
      <c r="J36" s="190">
        <v>210</v>
      </c>
      <c r="K36" s="190">
        <v>10</v>
      </c>
      <c r="L36" s="190">
        <f t="shared" si="11"/>
        <v>0.29027335456475578</v>
      </c>
      <c r="M36" s="190">
        <f t="shared" si="12"/>
        <v>101.34002910326569</v>
      </c>
      <c r="N36" s="190">
        <f t="shared" si="13"/>
        <v>10.134002910326569</v>
      </c>
    </row>
    <row r="37" spans="1:14">
      <c r="D37" s="1"/>
      <c r="I37" s="190">
        <v>20</v>
      </c>
      <c r="J37" s="190">
        <v>380</v>
      </c>
      <c r="K37" s="190">
        <v>10</v>
      </c>
      <c r="L37" s="190">
        <f t="shared" si="11"/>
        <v>0.33616418966737438</v>
      </c>
      <c r="M37" s="190">
        <f t="shared" si="12"/>
        <v>99.127919476435821</v>
      </c>
      <c r="N37" s="190">
        <f t="shared" si="13"/>
        <v>9.9127919476435817</v>
      </c>
    </row>
    <row r="38" spans="1:14">
      <c r="A38" s="190">
        <v>1</v>
      </c>
      <c r="B38" s="190">
        <v>600</v>
      </c>
      <c r="C38" s="190">
        <v>600</v>
      </c>
      <c r="D38" s="1">
        <f t="shared" si="7"/>
        <v>0.30983866769659335</v>
      </c>
      <c r="I38" s="190">
        <v>26</v>
      </c>
      <c r="J38" s="190">
        <v>780</v>
      </c>
      <c r="K38" s="190">
        <v>10</v>
      </c>
      <c r="L38" s="190">
        <f t="shared" si="11"/>
        <v>0.4082965866405357</v>
      </c>
      <c r="M38" s="190">
        <f t="shared" si="12"/>
        <v>100.34814030268122</v>
      </c>
      <c r="N38" s="190">
        <f t="shared" si="13"/>
        <v>10.034814030268121</v>
      </c>
    </row>
    <row r="39" spans="1:14">
      <c r="A39" s="190">
        <v>2</v>
      </c>
      <c r="B39" s="190">
        <v>1000</v>
      </c>
      <c r="C39" s="190">
        <v>600</v>
      </c>
      <c r="D39" s="1">
        <f t="shared" si="7"/>
        <v>0.5163977794943222</v>
      </c>
    </row>
    <row r="40" spans="1:14">
      <c r="A40" s="190">
        <v>3</v>
      </c>
      <c r="B40" s="190">
        <v>1520</v>
      </c>
      <c r="C40" s="190">
        <v>600</v>
      </c>
      <c r="D40" s="1">
        <f t="shared" si="7"/>
        <v>0.78492462483136982</v>
      </c>
      <c r="I40" s="190">
        <v>10</v>
      </c>
      <c r="J40" s="190">
        <v>600</v>
      </c>
      <c r="K40" s="190">
        <v>600</v>
      </c>
      <c r="L40" s="190">
        <f t="shared" si="11"/>
        <v>2.1231422505307855</v>
      </c>
      <c r="M40" s="190">
        <f t="shared" si="12"/>
        <v>5932.4196490562999</v>
      </c>
      <c r="N40" s="190">
        <f t="shared" si="13"/>
        <v>9.8873660817605007</v>
      </c>
    </row>
    <row r="41" spans="1:14">
      <c r="A41" s="190">
        <v>4</v>
      </c>
      <c r="B41" s="190">
        <v>1800</v>
      </c>
      <c r="C41" s="190">
        <v>600</v>
      </c>
      <c r="D41" s="1">
        <f t="shared" si="7"/>
        <v>0.92951600308978</v>
      </c>
      <c r="I41" s="190">
        <v>12</v>
      </c>
      <c r="J41" s="190">
        <v>1000</v>
      </c>
      <c r="K41" s="190">
        <v>600</v>
      </c>
      <c r="L41" s="190">
        <f t="shared" si="11"/>
        <v>2.4573405677439646</v>
      </c>
      <c r="M41" s="190">
        <f t="shared" si="12"/>
        <v>6100.3711394370685</v>
      </c>
      <c r="N41" s="190">
        <f t="shared" si="13"/>
        <v>10.167285232395114</v>
      </c>
    </row>
    <row r="42" spans="1:14">
      <c r="A42" s="190">
        <v>5</v>
      </c>
      <c r="B42" s="190">
        <v>2150</v>
      </c>
      <c r="C42" s="190">
        <v>600</v>
      </c>
      <c r="D42" s="1">
        <f t="shared" si="7"/>
        <v>1.1102552259127927</v>
      </c>
      <c r="I42" s="190">
        <v>14</v>
      </c>
      <c r="J42" s="190">
        <v>1520</v>
      </c>
      <c r="K42" s="190">
        <v>600</v>
      </c>
      <c r="L42" s="190">
        <f t="shared" si="11"/>
        <v>2.7441974666724436</v>
      </c>
      <c r="M42" s="190">
        <f t="shared" si="12"/>
        <v>6103.5890601979545</v>
      </c>
      <c r="N42" s="190">
        <f t="shared" si="13"/>
        <v>10.172648433663257</v>
      </c>
    </row>
    <row r="43" spans="1:14">
      <c r="A43" s="190">
        <v>6</v>
      </c>
      <c r="B43" s="190">
        <v>3000</v>
      </c>
      <c r="C43" s="190">
        <v>370</v>
      </c>
      <c r="D43" s="1">
        <f t="shared" si="7"/>
        <v>1.9727878476642875</v>
      </c>
      <c r="I43" s="190">
        <v>15</v>
      </c>
      <c r="J43" s="190">
        <v>1800</v>
      </c>
      <c r="K43" s="190">
        <v>600</v>
      </c>
      <c r="L43" s="190">
        <f t="shared" si="11"/>
        <v>2.8308563340410475</v>
      </c>
      <c r="M43" s="190">
        <f t="shared" si="12"/>
        <v>5912.3560493892082</v>
      </c>
      <c r="N43" s="190">
        <f t="shared" si="13"/>
        <v>9.8539267489820137</v>
      </c>
    </row>
    <row r="44" spans="1:14">
      <c r="A44" s="190">
        <v>7</v>
      </c>
      <c r="B44" s="190">
        <v>3000</v>
      </c>
      <c r="C44" s="190">
        <v>105</v>
      </c>
      <c r="D44" s="1">
        <f t="shared" si="7"/>
        <v>3.7032803990902057</v>
      </c>
      <c r="I44" s="190">
        <v>16</v>
      </c>
      <c r="J44" s="190">
        <v>2150</v>
      </c>
      <c r="K44" s="190">
        <v>600</v>
      </c>
      <c r="L44" s="190">
        <f t="shared" si="11"/>
        <v>2.971846249115357</v>
      </c>
      <c r="M44" s="190">
        <f t="shared" si="12"/>
        <v>5938.333220907035</v>
      </c>
      <c r="N44" s="190">
        <f t="shared" si="13"/>
        <v>9.8972220348450577</v>
      </c>
    </row>
    <row r="45" spans="1:14">
      <c r="D45" s="1"/>
      <c r="I45" s="190">
        <v>20</v>
      </c>
      <c r="J45" s="190">
        <v>3000</v>
      </c>
      <c r="K45" s="190">
        <v>370</v>
      </c>
      <c r="L45" s="190">
        <f t="shared" si="11"/>
        <v>2.6539278131634818</v>
      </c>
      <c r="M45" s="190">
        <f t="shared" si="12"/>
        <v>3685.8435137945144</v>
      </c>
      <c r="N45" s="190">
        <f t="shared" si="13"/>
        <v>9.9617392264716607</v>
      </c>
    </row>
    <row r="46" spans="1:14">
      <c r="A46" s="190" t="s">
        <v>383</v>
      </c>
      <c r="B46" s="190" t="s">
        <v>382</v>
      </c>
      <c r="C46" s="190" t="s">
        <v>381</v>
      </c>
      <c r="D46" s="1"/>
      <c r="I46" s="190">
        <v>26</v>
      </c>
      <c r="J46" s="190">
        <v>3000</v>
      </c>
      <c r="K46" s="190">
        <v>105</v>
      </c>
      <c r="L46" s="190">
        <f t="shared" si="11"/>
        <v>1.5703714870789833</v>
      </c>
      <c r="M46" s="190">
        <f t="shared" si="12"/>
        <v>1060.0002541830258</v>
      </c>
      <c r="N46" s="190">
        <f t="shared" si="13"/>
        <v>10.095240516028818</v>
      </c>
    </row>
    <row r="47" spans="1:14">
      <c r="A47" s="190">
        <v>1</v>
      </c>
      <c r="B47" s="190">
        <v>62</v>
      </c>
      <c r="C47" s="190">
        <v>10</v>
      </c>
      <c r="D47" s="1">
        <f t="shared" si="7"/>
        <v>0.248</v>
      </c>
    </row>
    <row r="48" spans="1:14">
      <c r="A48" s="190">
        <v>2</v>
      </c>
      <c r="B48" s="190">
        <v>100</v>
      </c>
      <c r="C48" s="190">
        <v>10</v>
      </c>
      <c r="D48" s="1">
        <f t="shared" si="7"/>
        <v>0.4</v>
      </c>
    </row>
    <row r="49" spans="1:4">
      <c r="A49" s="190">
        <v>3</v>
      </c>
      <c r="B49" s="190">
        <v>155</v>
      </c>
      <c r="C49" s="190">
        <v>10</v>
      </c>
      <c r="D49" s="1">
        <f t="shared" si="7"/>
        <v>0.62</v>
      </c>
    </row>
    <row r="50" spans="1:4">
      <c r="A50" s="190">
        <v>4</v>
      </c>
      <c r="B50" s="190">
        <v>180</v>
      </c>
      <c r="C50" s="190">
        <v>10</v>
      </c>
      <c r="D50" s="1">
        <f t="shared" si="7"/>
        <v>0.72</v>
      </c>
    </row>
    <row r="51" spans="1:4">
      <c r="A51" s="190">
        <v>5</v>
      </c>
      <c r="B51" s="190">
        <v>220</v>
      </c>
      <c r="C51" s="190">
        <v>10</v>
      </c>
      <c r="D51" s="1">
        <f t="shared" si="7"/>
        <v>0.88</v>
      </c>
    </row>
    <row r="52" spans="1:4">
      <c r="A52" s="190">
        <v>6</v>
      </c>
      <c r="B52" s="190">
        <v>400</v>
      </c>
      <c r="C52" s="190">
        <v>10</v>
      </c>
      <c r="D52" s="1">
        <f t="shared" si="7"/>
        <v>1.6</v>
      </c>
    </row>
    <row r="53" spans="1:4">
      <c r="A53" s="190">
        <v>7</v>
      </c>
      <c r="B53" s="190">
        <v>820</v>
      </c>
      <c r="C53" s="190">
        <v>10</v>
      </c>
      <c r="D53" s="1">
        <f t="shared" si="7"/>
        <v>3.28</v>
      </c>
    </row>
    <row r="54" spans="1:4">
      <c r="D54" s="1"/>
    </row>
    <row r="55" spans="1:4">
      <c r="A55" s="190">
        <v>1</v>
      </c>
      <c r="B55" s="190">
        <v>650</v>
      </c>
      <c r="C55" s="190">
        <v>600</v>
      </c>
      <c r="D55" s="1">
        <f t="shared" si="7"/>
        <v>0.33565855667130945</v>
      </c>
    </row>
    <row r="56" spans="1:4">
      <c r="A56" s="190">
        <v>2</v>
      </c>
      <c r="B56" s="190">
        <v>1050</v>
      </c>
      <c r="C56" s="190">
        <v>600</v>
      </c>
      <c r="D56" s="1">
        <f t="shared" si="7"/>
        <v>0.54221766846903841</v>
      </c>
    </row>
    <row r="57" spans="1:4">
      <c r="A57" s="190">
        <v>3</v>
      </c>
      <c r="B57" s="190">
        <v>1600</v>
      </c>
      <c r="C57" s="190">
        <v>600</v>
      </c>
      <c r="D57" s="1">
        <f t="shared" si="7"/>
        <v>0.8262364471909156</v>
      </c>
    </row>
    <row r="58" spans="1:4">
      <c r="A58" s="190">
        <v>4</v>
      </c>
      <c r="B58" s="190">
        <v>1900</v>
      </c>
      <c r="C58" s="190">
        <v>600</v>
      </c>
      <c r="D58" s="1">
        <f t="shared" si="7"/>
        <v>0.98115578103921219</v>
      </c>
    </row>
    <row r="59" spans="1:4">
      <c r="A59" s="190">
        <v>5</v>
      </c>
      <c r="B59" s="190">
        <v>2300</v>
      </c>
      <c r="C59" s="190">
        <v>600</v>
      </c>
      <c r="D59" s="1">
        <f t="shared" si="7"/>
        <v>1.187714892836941</v>
      </c>
    </row>
    <row r="60" spans="1:4">
      <c r="A60" s="190">
        <v>6</v>
      </c>
      <c r="B60" s="190">
        <v>3000</v>
      </c>
      <c r="C60" s="190">
        <v>340</v>
      </c>
      <c r="D60" s="1">
        <f t="shared" si="7"/>
        <v>2.0579830217101058</v>
      </c>
    </row>
    <row r="61" spans="1:4">
      <c r="A61" s="190">
        <v>7</v>
      </c>
      <c r="B61" s="190">
        <v>3000</v>
      </c>
      <c r="C61" s="190">
        <v>95</v>
      </c>
      <c r="D61" s="1">
        <f t="shared" si="7"/>
        <v>3.8933141071383011</v>
      </c>
    </row>
  </sheetData>
  <hyperlinks>
    <hyperlink ref="A9" r:id="rId1"/>
    <hyperlink ref="G9" r:id="rId2"/>
    <hyperlink ref="D10" r:id="rId3"/>
  </hyperlinks>
  <pageMargins left="0.7" right="0.7" top="0.78740157499999996" bottom="0.78740157499999996" header="0.3" footer="0.3"/>
  <drawing r:id="rId4"/>
</worksheet>
</file>

<file path=xl/worksheets/sheet12.xml><?xml version="1.0" encoding="utf-8"?>
<worksheet xmlns="http://schemas.openxmlformats.org/spreadsheetml/2006/main" xmlns:r="http://schemas.openxmlformats.org/officeDocument/2006/relationships">
  <dimension ref="A1:AB223"/>
  <sheetViews>
    <sheetView topLeftCell="A191" workbookViewId="0">
      <selection activeCell="U216" sqref="U216"/>
    </sheetView>
  </sheetViews>
  <sheetFormatPr defaultRowHeight="16.5" customHeight="1"/>
  <cols>
    <col min="1" max="9" width="8.42578125" style="190" customWidth="1"/>
    <col min="10" max="16384" width="9.140625" style="190"/>
  </cols>
  <sheetData>
    <row r="1" spans="1:21" ht="16.5" customHeight="1">
      <c r="E1" s="190" t="s">
        <v>512</v>
      </c>
      <c r="G1" s="208"/>
      <c r="J1" s="190" t="s">
        <v>511</v>
      </c>
      <c r="R1" s="71" t="s">
        <v>510</v>
      </c>
    </row>
    <row r="2" spans="1:21" ht="16.5" customHeight="1">
      <c r="C2" s="207">
        <v>43536</v>
      </c>
      <c r="D2" s="190" t="s">
        <v>509</v>
      </c>
      <c r="J2" s="190" t="s">
        <v>508</v>
      </c>
    </row>
    <row r="3" spans="1:21" ht="16.5" customHeight="1">
      <c r="R3" s="190" t="s">
        <v>507</v>
      </c>
    </row>
    <row r="4" spans="1:21" ht="16.5" customHeight="1">
      <c r="C4" s="190" t="s">
        <v>19</v>
      </c>
      <c r="D4" s="190" t="s">
        <v>4</v>
      </c>
      <c r="E4" s="154">
        <v>10.199999999999999</v>
      </c>
      <c r="R4" s="190">
        <v>18.399999999999999</v>
      </c>
      <c r="S4" s="190">
        <v>19.850000000000001</v>
      </c>
      <c r="T4" s="190">
        <f>S4-R4</f>
        <v>1.4500000000000028</v>
      </c>
      <c r="U4" s="190">
        <f>R4/2+S4/2</f>
        <v>19.125</v>
      </c>
    </row>
    <row r="5" spans="1:21" ht="16.5" customHeight="1">
      <c r="D5" s="190" t="s">
        <v>4</v>
      </c>
      <c r="E5" s="154">
        <v>0.3</v>
      </c>
      <c r="G5" s="190" t="s">
        <v>506</v>
      </c>
      <c r="R5" s="190">
        <v>44.25</v>
      </c>
    </row>
    <row r="6" spans="1:21" ht="16.5" customHeight="1">
      <c r="A6" s="190">
        <v>5</v>
      </c>
      <c r="B6" s="190">
        <v>13.75</v>
      </c>
      <c r="C6" s="190">
        <v>27</v>
      </c>
      <c r="D6" s="190">
        <v>12.9</v>
      </c>
      <c r="E6" s="190">
        <f>(C6-18)*E$5+E$4</f>
        <v>12.899999999999999</v>
      </c>
      <c r="F6" s="190">
        <v>11.5</v>
      </c>
      <c r="G6" s="190">
        <f>F6+F6-D6</f>
        <v>10.1</v>
      </c>
      <c r="H6" s="190">
        <f>D6-E6</f>
        <v>0</v>
      </c>
      <c r="R6" s="190">
        <v>45.35</v>
      </c>
      <c r="S6" s="190">
        <f>R6-R5</f>
        <v>1.1000000000000014</v>
      </c>
    </row>
    <row r="7" spans="1:21" ht="16.5" customHeight="1">
      <c r="A7" s="190">
        <v>4</v>
      </c>
      <c r="C7" s="190">
        <v>24</v>
      </c>
      <c r="D7" s="190">
        <v>12.2</v>
      </c>
      <c r="E7" s="190">
        <f>(C7-18)*E$5+E$4</f>
        <v>12</v>
      </c>
      <c r="F7" s="190">
        <f>F6</f>
        <v>11.5</v>
      </c>
      <c r="G7" s="190">
        <f>F7+F7-D7</f>
        <v>10.8</v>
      </c>
      <c r="H7" s="190">
        <f>D7-E7</f>
        <v>0.19999999999999929</v>
      </c>
      <c r="R7" s="190">
        <v>47.05</v>
      </c>
      <c r="S7" s="190">
        <f>R7-R6</f>
        <v>1.6999999999999957</v>
      </c>
    </row>
    <row r="8" spans="1:21" ht="16.5" customHeight="1">
      <c r="A8" s="190">
        <v>3</v>
      </c>
      <c r="C8" s="190">
        <v>21</v>
      </c>
      <c r="D8" s="190">
        <v>11.25</v>
      </c>
      <c r="E8" s="190">
        <f>(C8-18)*E$5+E$4</f>
        <v>11.1</v>
      </c>
      <c r="F8" s="190">
        <f>F7</f>
        <v>11.5</v>
      </c>
      <c r="G8" s="190">
        <f>F8+F8-D8</f>
        <v>11.75</v>
      </c>
      <c r="H8" s="190">
        <f>D8-E8</f>
        <v>0.15000000000000036</v>
      </c>
      <c r="R8" s="190">
        <v>48.25</v>
      </c>
      <c r="S8" s="190">
        <f>R8-R7</f>
        <v>1.2000000000000028</v>
      </c>
    </row>
    <row r="9" spans="1:21" ht="16.5" customHeight="1">
      <c r="A9" s="190">
        <v>2</v>
      </c>
      <c r="C9" s="190">
        <v>18</v>
      </c>
      <c r="D9" s="190">
        <v>10</v>
      </c>
      <c r="E9" s="190">
        <f>(C9-18)*E$5+E$4</f>
        <v>10.199999999999999</v>
      </c>
      <c r="F9" s="190">
        <f>F8</f>
        <v>11.5</v>
      </c>
      <c r="G9" s="190">
        <f>F9+F9-D9</f>
        <v>13</v>
      </c>
      <c r="H9" s="190">
        <f>D9-E9</f>
        <v>-0.19999999999999929</v>
      </c>
    </row>
    <row r="10" spans="1:21" ht="16.5" customHeight="1">
      <c r="A10" s="190">
        <v>1</v>
      </c>
      <c r="B10" s="190">
        <v>10.199999999999999</v>
      </c>
      <c r="C10" s="190">
        <v>15</v>
      </c>
      <c r="D10" s="190">
        <v>9.3000000000000007</v>
      </c>
      <c r="E10" s="190">
        <f>(C10-18)*E$5+E$4</f>
        <v>9.2999999999999989</v>
      </c>
      <c r="F10" s="190">
        <f>F9</f>
        <v>11.5</v>
      </c>
      <c r="G10" s="190">
        <f>F10+F10-D10</f>
        <v>13.7</v>
      </c>
      <c r="H10" s="190">
        <f>D10-E10</f>
        <v>0</v>
      </c>
      <c r="R10" s="190">
        <v>44.9</v>
      </c>
    </row>
    <row r="11" spans="1:21" ht="16.5" customHeight="1">
      <c r="A11" s="190">
        <v>0</v>
      </c>
      <c r="B11" s="190">
        <v>9.3000000000000007</v>
      </c>
      <c r="R11" s="190">
        <v>46.4</v>
      </c>
      <c r="S11" s="190">
        <f>R11-R10</f>
        <v>1.5</v>
      </c>
    </row>
    <row r="12" spans="1:21" ht="16.5" customHeight="1">
      <c r="A12" s="190" t="s">
        <v>505</v>
      </c>
      <c r="B12" s="190">
        <v>8.9499999999999993</v>
      </c>
      <c r="R12" s="190">
        <v>47.8</v>
      </c>
      <c r="S12" s="190">
        <f>R12-R11</f>
        <v>1.3999999999999986</v>
      </c>
    </row>
    <row r="14" spans="1:21" ht="16.5" customHeight="1">
      <c r="B14" s="190" t="s">
        <v>495</v>
      </c>
      <c r="C14" s="71" t="s">
        <v>504</v>
      </c>
      <c r="D14" s="190" t="s">
        <v>503</v>
      </c>
    </row>
    <row r="15" spans="1:21" ht="16.5" customHeight="1">
      <c r="A15" s="190" t="s">
        <v>428</v>
      </c>
      <c r="B15" s="190">
        <v>5.65</v>
      </c>
      <c r="C15" s="71">
        <v>14</v>
      </c>
      <c r="D15" s="190">
        <f>C15-B15</f>
        <v>8.35</v>
      </c>
      <c r="F15" s="190" t="s">
        <v>502</v>
      </c>
      <c r="R15" s="190">
        <v>18.7</v>
      </c>
      <c r="S15" s="190">
        <v>20.8</v>
      </c>
      <c r="T15" s="190">
        <f>S15-R15</f>
        <v>2.1000000000000014</v>
      </c>
      <c r="U15" s="190">
        <f>R15/2+S15/2</f>
        <v>19.75</v>
      </c>
    </row>
    <row r="16" spans="1:21" ht="16.5" customHeight="1">
      <c r="A16" s="190" t="s">
        <v>501</v>
      </c>
      <c r="B16" s="190">
        <v>3.1</v>
      </c>
      <c r="C16" s="71">
        <v>11.5</v>
      </c>
      <c r="D16" s="190">
        <f>C16-B16</f>
        <v>8.4</v>
      </c>
      <c r="F16" s="190">
        <f>C24/C29</f>
        <v>0.1125</v>
      </c>
      <c r="G16" s="190" t="s">
        <v>4</v>
      </c>
      <c r="S16" s="190">
        <f>5.4/3</f>
        <v>1.8</v>
      </c>
    </row>
    <row r="17" spans="1:20" ht="16.5" customHeight="1">
      <c r="A17" s="190" t="s">
        <v>4</v>
      </c>
      <c r="B17" s="190">
        <f>B15-B16</f>
        <v>2.5500000000000003</v>
      </c>
      <c r="F17" s="190">
        <f>F16/E5</f>
        <v>0.375</v>
      </c>
      <c r="G17" s="190" t="s">
        <v>500</v>
      </c>
    </row>
    <row r="18" spans="1:20" ht="16.5" customHeight="1">
      <c r="B18" s="190">
        <f>B17/E5</f>
        <v>8.5000000000000018</v>
      </c>
      <c r="C18" s="190" t="s">
        <v>499</v>
      </c>
    </row>
    <row r="19" spans="1:20" ht="16.5" customHeight="1">
      <c r="F19" s="190">
        <f>B6-B12</f>
        <v>4.8000000000000007</v>
      </c>
      <c r="G19" s="190" t="s">
        <v>498</v>
      </c>
      <c r="R19" s="190">
        <v>97.3</v>
      </c>
    </row>
    <row r="20" spans="1:20" ht="16.5" customHeight="1">
      <c r="A20" s="190" t="s">
        <v>497</v>
      </c>
      <c r="F20" s="190">
        <v>20</v>
      </c>
      <c r="G20" s="190" t="s">
        <v>430</v>
      </c>
      <c r="R20" s="190">
        <v>102.7</v>
      </c>
      <c r="S20" s="190">
        <f>R20-R19</f>
        <v>5.4000000000000057</v>
      </c>
      <c r="T20" s="190">
        <f>S20/3</f>
        <v>1.8000000000000018</v>
      </c>
    </row>
    <row r="21" spans="1:20" ht="16.5" customHeight="1">
      <c r="A21" s="74"/>
      <c r="B21" s="74"/>
      <c r="C21" s="74"/>
      <c r="D21" s="74" t="s">
        <v>496</v>
      </c>
      <c r="F21" s="190">
        <f>F19*F20</f>
        <v>96.000000000000014</v>
      </c>
      <c r="G21" s="190" t="s">
        <v>427</v>
      </c>
    </row>
    <row r="22" spans="1:20" ht="16.5" customHeight="1">
      <c r="A22" s="205" t="s">
        <v>495</v>
      </c>
      <c r="B22" s="205" t="s">
        <v>4</v>
      </c>
      <c r="C22" s="205" t="s">
        <v>427</v>
      </c>
      <c r="D22" s="205" t="s">
        <v>430</v>
      </c>
      <c r="F22" s="206" t="s">
        <v>494</v>
      </c>
    </row>
    <row r="23" spans="1:20" ht="16.5" customHeight="1">
      <c r="A23" s="74" t="s">
        <v>493</v>
      </c>
      <c r="B23" s="74">
        <v>5.7</v>
      </c>
      <c r="C23" s="74">
        <v>1.5</v>
      </c>
      <c r="D23" s="74"/>
    </row>
    <row r="24" spans="1:20" ht="16.5" customHeight="1">
      <c r="A24" s="74" t="s">
        <v>492</v>
      </c>
      <c r="B24" s="74">
        <v>3.3</v>
      </c>
      <c r="C24" s="74">
        <v>2.25</v>
      </c>
      <c r="D24" s="74"/>
    </row>
    <row r="25" spans="1:20" ht="16.5" customHeight="1">
      <c r="A25" s="74"/>
      <c r="B25" s="74">
        <f>B23-B24</f>
        <v>2.4000000000000004</v>
      </c>
      <c r="C25" s="74">
        <f>C24-C23</f>
        <v>0.75</v>
      </c>
      <c r="D25" s="74">
        <f>C25/B25</f>
        <v>0.31249999999999994</v>
      </c>
    </row>
    <row r="27" spans="1:20" ht="16.5" customHeight="1">
      <c r="A27" s="74" t="s">
        <v>491</v>
      </c>
      <c r="B27" s="74"/>
      <c r="C27" s="74"/>
      <c r="D27" s="74"/>
      <c r="E27" s="190" t="s">
        <v>425</v>
      </c>
    </row>
    <row r="28" spans="1:20" ht="16.5" customHeight="1">
      <c r="A28" s="205" t="s">
        <v>4</v>
      </c>
      <c r="B28" s="205" t="s">
        <v>427</v>
      </c>
      <c r="C28" s="205" t="s">
        <v>430</v>
      </c>
    </row>
    <row r="29" spans="1:20" ht="16.5" customHeight="1">
      <c r="A29" s="74">
        <v>0.5</v>
      </c>
      <c r="B29" s="74">
        <v>10</v>
      </c>
      <c r="C29" s="74">
        <f>B29/A29</f>
        <v>20</v>
      </c>
    </row>
    <row r="30" spans="1:20" ht="16.5" customHeight="1">
      <c r="E30" s="190" t="s">
        <v>490</v>
      </c>
    </row>
    <row r="34" spans="1:19" ht="16.5" customHeight="1">
      <c r="A34" s="204" t="s">
        <v>489</v>
      </c>
    </row>
    <row r="35" spans="1:19" ht="16.5" customHeight="1">
      <c r="I35" s="190" t="s">
        <v>455</v>
      </c>
    </row>
    <row r="36" spans="1:19" ht="16.5" customHeight="1">
      <c r="A36" s="357" t="s">
        <v>488</v>
      </c>
      <c r="B36" s="200" t="s">
        <v>487</v>
      </c>
      <c r="C36" s="200" t="s">
        <v>486</v>
      </c>
      <c r="G36" s="190" t="s">
        <v>485</v>
      </c>
      <c r="I36" s="190">
        <v>2.5</v>
      </c>
      <c r="J36" s="190">
        <f>I36*I36*3.14/4</f>
        <v>4.90625</v>
      </c>
      <c r="K36" s="190" t="s">
        <v>456</v>
      </c>
      <c r="P36" s="204" t="s">
        <v>484</v>
      </c>
    </row>
    <row r="37" spans="1:19" ht="16.5" customHeight="1">
      <c r="A37" s="357"/>
      <c r="B37" s="200" t="s">
        <v>483</v>
      </c>
      <c r="C37" s="200" t="s">
        <v>482</v>
      </c>
      <c r="I37" s="190">
        <v>2.5</v>
      </c>
      <c r="J37" s="190">
        <f>J36*I37</f>
        <v>12.265625</v>
      </c>
      <c r="K37" s="190" t="s">
        <v>457</v>
      </c>
      <c r="L37" s="190">
        <v>0.03</v>
      </c>
      <c r="M37" s="190" t="s">
        <v>481</v>
      </c>
      <c r="P37" s="190" t="s">
        <v>480</v>
      </c>
    </row>
    <row r="38" spans="1:19" ht="16.5" customHeight="1">
      <c r="I38" s="190">
        <f>SQRT(L39*4/3.14)</f>
        <v>0.84471395552972062</v>
      </c>
      <c r="J38" s="190" t="s">
        <v>479</v>
      </c>
      <c r="P38" s="190">
        <v>2000</v>
      </c>
      <c r="Q38" s="190" t="s">
        <v>454</v>
      </c>
    </row>
    <row r="39" spans="1:19" ht="16.5" customHeight="1">
      <c r="A39" s="190" t="s">
        <v>478</v>
      </c>
      <c r="B39" s="131">
        <v>1.37</v>
      </c>
      <c r="C39" s="131">
        <v>1909</v>
      </c>
      <c r="H39" s="190" t="s">
        <v>477</v>
      </c>
      <c r="I39" s="190">
        <f>1.37*0.001</f>
        <v>1.3700000000000001E-3</v>
      </c>
      <c r="J39" s="190">
        <f>J37*I39</f>
        <v>1.680390625E-2</v>
      </c>
      <c r="K39" s="190" t="s">
        <v>476</v>
      </c>
      <c r="L39" s="190">
        <f>J39/L37</f>
        <v>0.56013020833333338</v>
      </c>
      <c r="M39" s="190" t="s">
        <v>475</v>
      </c>
      <c r="P39" s="190">
        <f>P38*1000000/Q39</f>
        <v>1005.985614405714</v>
      </c>
      <c r="Q39" s="190">
        <f>R39*R39</f>
        <v>1988100</v>
      </c>
      <c r="R39" s="190">
        <v>1410</v>
      </c>
      <c r="S39" s="190" t="s">
        <v>15</v>
      </c>
    </row>
    <row r="41" spans="1:19" ht="16.5" customHeight="1">
      <c r="P41" s="190" t="s">
        <v>454</v>
      </c>
      <c r="Q41" s="190" t="s">
        <v>474</v>
      </c>
      <c r="R41" s="190" t="s">
        <v>15</v>
      </c>
    </row>
    <row r="42" spans="1:19" ht="16.5" customHeight="1">
      <c r="O42" s="190" t="s">
        <v>473</v>
      </c>
      <c r="P42" s="190">
        <v>2000</v>
      </c>
      <c r="Q42" s="190">
        <v>1000</v>
      </c>
      <c r="R42" s="190">
        <f t="shared" ref="R42:R47" si="0">SQRT(P42*1000000/Q42)</f>
        <v>1414.2135623730951</v>
      </c>
    </row>
    <row r="43" spans="1:19" ht="16.5" customHeight="1">
      <c r="O43" s="190" t="s">
        <v>472</v>
      </c>
      <c r="P43" s="190">
        <v>0.14000000000000001</v>
      </c>
      <c r="Q43" s="190">
        <v>1.2</v>
      </c>
      <c r="R43" s="190">
        <f t="shared" si="0"/>
        <v>341.56502553198663</v>
      </c>
    </row>
    <row r="44" spans="1:19" ht="16.5" customHeight="1">
      <c r="P44" s="190">
        <v>0.1</v>
      </c>
      <c r="Q44" s="190">
        <v>1.2</v>
      </c>
      <c r="R44" s="190">
        <f t="shared" si="0"/>
        <v>288.6751345948129</v>
      </c>
    </row>
    <row r="45" spans="1:19" ht="16.5" customHeight="1">
      <c r="O45" s="190" t="s">
        <v>471</v>
      </c>
      <c r="P45" s="190">
        <v>1100</v>
      </c>
      <c r="Q45" s="190">
        <v>800</v>
      </c>
      <c r="R45" s="190">
        <f t="shared" si="0"/>
        <v>1172.6039399558574</v>
      </c>
      <c r="S45" s="190">
        <v>1170</v>
      </c>
    </row>
    <row r="46" spans="1:19" ht="16.5" customHeight="1">
      <c r="A46" s="190" t="s">
        <v>283</v>
      </c>
      <c r="B46" s="190" t="s">
        <v>279</v>
      </c>
      <c r="C46" s="190" t="s">
        <v>470</v>
      </c>
      <c r="D46" s="190" t="s">
        <v>469</v>
      </c>
      <c r="E46" s="190" t="s">
        <v>468</v>
      </c>
      <c r="F46" s="190" t="s">
        <v>467</v>
      </c>
      <c r="G46" s="190" t="s">
        <v>466</v>
      </c>
      <c r="H46" s="190" t="s">
        <v>465</v>
      </c>
      <c r="I46" s="190" t="s">
        <v>464</v>
      </c>
      <c r="J46" s="190" t="s">
        <v>463</v>
      </c>
      <c r="K46" s="190" t="s">
        <v>462</v>
      </c>
      <c r="L46" s="190" t="s">
        <v>461</v>
      </c>
      <c r="M46" s="190" t="s">
        <v>460</v>
      </c>
      <c r="O46" s="190" t="s">
        <v>459</v>
      </c>
      <c r="P46" s="190">
        <v>1100</v>
      </c>
      <c r="Q46" s="190">
        <v>800</v>
      </c>
      <c r="R46" s="190">
        <f t="shared" si="0"/>
        <v>1172.6039399558574</v>
      </c>
      <c r="S46" s="190">
        <v>1174</v>
      </c>
    </row>
    <row r="47" spans="1:19" ht="16.5" customHeight="1">
      <c r="A47" s="190" t="s">
        <v>455</v>
      </c>
      <c r="B47" s="190" t="s">
        <v>455</v>
      </c>
      <c r="C47" s="190" t="s">
        <v>457</v>
      </c>
      <c r="D47" s="190" t="s">
        <v>458</v>
      </c>
      <c r="E47" s="190" t="s">
        <v>457</v>
      </c>
      <c r="F47" s="190" t="s">
        <v>455</v>
      </c>
      <c r="G47" s="190" t="s">
        <v>456</v>
      </c>
      <c r="H47" s="190" t="s">
        <v>455</v>
      </c>
      <c r="J47" s="190" t="s">
        <v>454</v>
      </c>
      <c r="M47" s="190" t="s">
        <v>453</v>
      </c>
      <c r="O47" s="190" t="s">
        <v>452</v>
      </c>
      <c r="P47" s="190">
        <v>5800</v>
      </c>
      <c r="Q47" s="190">
        <v>2000</v>
      </c>
      <c r="R47" s="190">
        <f t="shared" si="0"/>
        <v>1702.93863659264</v>
      </c>
      <c r="S47" s="190">
        <v>1700</v>
      </c>
    </row>
    <row r="48" spans="1:19" ht="16.5" customHeight="1">
      <c r="A48" s="190">
        <v>3.1</v>
      </c>
      <c r="B48" s="190">
        <v>2.6</v>
      </c>
      <c r="C48" s="190">
        <f>A48*A48*3.14/4*B48</f>
        <v>19.614010000000004</v>
      </c>
      <c r="D48" s="190">
        <v>1.3699999999999999E-3</v>
      </c>
      <c r="E48" s="190">
        <f>D48*C48</f>
        <v>2.6871193700000004E-2</v>
      </c>
      <c r="F48" s="190">
        <v>0.03</v>
      </c>
      <c r="G48" s="190">
        <f>E48/F48</f>
        <v>0.89570645666666682</v>
      </c>
      <c r="H48" s="190">
        <f>SQRT(G48*4/3.14)</f>
        <v>1.0681888097772478</v>
      </c>
      <c r="I48" s="190">
        <f>A48*A48*3.14/4/G48</f>
        <v>8.4222346996069621</v>
      </c>
      <c r="J48" s="190">
        <v>1100</v>
      </c>
      <c r="K48" s="190">
        <f>J48*D48</f>
        <v>1.5069999999999999</v>
      </c>
      <c r="L48" s="190">
        <f>K48*1000000*G48/100/100</f>
        <v>134.98296301966667</v>
      </c>
      <c r="M48" s="71">
        <f>3.333*L48</f>
        <v>449.89821574454902</v>
      </c>
    </row>
    <row r="49" spans="1:25" ht="16.5" customHeight="1">
      <c r="A49" s="190">
        <v>3</v>
      </c>
      <c r="B49" s="190">
        <v>2.5</v>
      </c>
      <c r="C49" s="190">
        <f>A49*A49*3.14/4*B49</f>
        <v>17.662500000000001</v>
      </c>
      <c r="D49" s="190">
        <v>1.3699999999999999E-3</v>
      </c>
      <c r="E49" s="190">
        <f>D49*C49</f>
        <v>2.4197625E-2</v>
      </c>
      <c r="F49" s="190">
        <v>0.03</v>
      </c>
      <c r="G49" s="190">
        <f>E49/F49</f>
        <v>0.80658750000000001</v>
      </c>
      <c r="H49" s="190">
        <f>SQRT(G49*4/3.14)</f>
        <v>1.0136567466356647</v>
      </c>
      <c r="I49" s="190">
        <f>A49*A49*3.14/4/G49</f>
        <v>8.7591240875912408</v>
      </c>
      <c r="J49" s="190">
        <v>1100</v>
      </c>
      <c r="K49" s="190">
        <f>J49*D49</f>
        <v>1.5069999999999999</v>
      </c>
      <c r="L49" s="190">
        <f>K49*1000000*G49/100/100</f>
        <v>121.55273625</v>
      </c>
      <c r="M49" s="71">
        <f>3.333*L49</f>
        <v>405.13526992125003</v>
      </c>
    </row>
    <row r="50" spans="1:25" ht="16.5" customHeight="1">
      <c r="A50" s="190">
        <v>2.9</v>
      </c>
      <c r="B50" s="190">
        <v>2.4</v>
      </c>
      <c r="C50" s="190">
        <f>A50*A50*3.14/4*B50</f>
        <v>15.844440000000001</v>
      </c>
      <c r="D50" s="190">
        <v>1.3699999999999999E-3</v>
      </c>
      <c r="E50" s="190">
        <f>D50*C50</f>
        <v>2.1706882800000001E-2</v>
      </c>
      <c r="F50" s="190">
        <v>0.03</v>
      </c>
      <c r="G50" s="190">
        <f>E50/F50</f>
        <v>0.72356276000000008</v>
      </c>
      <c r="H50" s="190">
        <f>SQRT(G50*4/3.14)</f>
        <v>0.96007083072031729</v>
      </c>
      <c r="I50" s="190">
        <f>A50*A50*3.14/4/G50</f>
        <v>9.1240875912408761</v>
      </c>
      <c r="J50" s="190">
        <v>1100</v>
      </c>
      <c r="K50" s="190">
        <f>J50*D50</f>
        <v>1.5069999999999999</v>
      </c>
      <c r="L50" s="190">
        <f>K50*1000000*G50/100/100</f>
        <v>109.04090793200001</v>
      </c>
      <c r="M50" s="71">
        <f>3.333*L50</f>
        <v>363.43334613735607</v>
      </c>
    </row>
    <row r="51" spans="1:25" ht="16.5" customHeight="1">
      <c r="A51" s="190">
        <v>2.6</v>
      </c>
      <c r="B51" s="190">
        <v>2.1</v>
      </c>
      <c r="C51" s="190">
        <f>A51*A51*3.14/4*B51</f>
        <v>11.143860000000002</v>
      </c>
      <c r="D51" s="190">
        <v>1.3699999999999999E-3</v>
      </c>
      <c r="E51" s="190">
        <f>D51*C51</f>
        <v>1.5267088200000001E-2</v>
      </c>
      <c r="F51" s="190">
        <v>0.03</v>
      </c>
      <c r="G51" s="190">
        <f>E51/F51</f>
        <v>0.50890294000000003</v>
      </c>
      <c r="H51" s="190">
        <f>SQRT(G51*4/3.14)</f>
        <v>0.80516085349450517</v>
      </c>
      <c r="I51" s="190">
        <f>A51*A51*3.14/4/G51</f>
        <v>10.427528675703858</v>
      </c>
      <c r="J51" s="190">
        <v>1100</v>
      </c>
      <c r="K51" s="190">
        <f>J51*D51</f>
        <v>1.5069999999999999</v>
      </c>
      <c r="L51" s="190">
        <f>K51*1000000*G51/100/100</f>
        <v>76.691673058000006</v>
      </c>
      <c r="M51" s="71">
        <f>3.333*L51</f>
        <v>255.61334630231403</v>
      </c>
      <c r="N51" s="190" t="s">
        <v>451</v>
      </c>
    </row>
    <row r="52" spans="1:25" ht="16.5" customHeight="1">
      <c r="A52" s="190" t="s">
        <v>450</v>
      </c>
      <c r="J52" s="190" t="s">
        <v>449</v>
      </c>
      <c r="M52" s="71">
        <v>258</v>
      </c>
      <c r="R52" s="190" t="s">
        <v>448</v>
      </c>
      <c r="T52" s="190" t="s">
        <v>447</v>
      </c>
    </row>
    <row r="53" spans="1:25" ht="16.5" customHeight="1">
      <c r="G53" s="71"/>
      <c r="H53" s="71"/>
      <c r="J53" s="190" t="s">
        <v>446</v>
      </c>
      <c r="R53" s="203" t="s">
        <v>445</v>
      </c>
    </row>
    <row r="54" spans="1:25" ht="16.5" customHeight="1">
      <c r="J54" s="190" t="s">
        <v>444</v>
      </c>
      <c r="T54" s="190">
        <v>1</v>
      </c>
      <c r="U54" s="190">
        <v>2</v>
      </c>
      <c r="V54" s="190">
        <v>3</v>
      </c>
      <c r="W54" s="190">
        <v>4</v>
      </c>
      <c r="X54" s="190">
        <v>5</v>
      </c>
    </row>
    <row r="55" spans="1:25" ht="16.5" customHeight="1">
      <c r="J55" s="190" t="s">
        <v>443</v>
      </c>
      <c r="R55" s="190">
        <v>7</v>
      </c>
      <c r="S55" s="190">
        <v>9.5</v>
      </c>
      <c r="T55" s="190">
        <v>14</v>
      </c>
      <c r="U55" s="190">
        <v>17</v>
      </c>
      <c r="V55" s="190">
        <v>20</v>
      </c>
      <c r="W55" s="190">
        <v>23</v>
      </c>
      <c r="X55" s="190">
        <v>26</v>
      </c>
      <c r="Y55" s="190">
        <v>28</v>
      </c>
    </row>
    <row r="56" spans="1:25" ht="16.5" customHeight="1">
      <c r="S56" s="190">
        <v>10</v>
      </c>
      <c r="T56" s="190">
        <v>14</v>
      </c>
      <c r="U56" s="190">
        <v>18</v>
      </c>
      <c r="V56" s="190">
        <v>22</v>
      </c>
      <c r="W56" s="190">
        <v>26</v>
      </c>
      <c r="X56" s="190">
        <v>30</v>
      </c>
    </row>
    <row r="58" spans="1:25" ht="16.5" customHeight="1">
      <c r="A58" s="71" t="s">
        <v>441</v>
      </c>
      <c r="E58" s="190" t="s">
        <v>442</v>
      </c>
      <c r="J58" s="71" t="s">
        <v>441</v>
      </c>
      <c r="K58" s="71"/>
      <c r="L58" s="71"/>
      <c r="M58" s="71"/>
    </row>
    <row r="59" spans="1:25" ht="16.5" customHeight="1">
      <c r="A59" s="190" t="s">
        <v>440</v>
      </c>
      <c r="B59" s="190" t="s">
        <v>439</v>
      </c>
      <c r="E59" s="190">
        <v>13.8</v>
      </c>
      <c r="F59" s="190" t="s">
        <v>438</v>
      </c>
      <c r="J59" s="71" t="s">
        <v>437</v>
      </c>
      <c r="K59" s="71"/>
      <c r="L59" s="71"/>
      <c r="M59" s="71"/>
    </row>
    <row r="60" spans="1:25" ht="16.5" customHeight="1">
      <c r="A60" s="95" t="s">
        <v>427</v>
      </c>
      <c r="B60" s="95" t="s">
        <v>436</v>
      </c>
      <c r="E60" s="190">
        <f>E59*E59*3.14/4</f>
        <v>149.49540000000002</v>
      </c>
      <c r="F60" s="190" t="s">
        <v>412</v>
      </c>
      <c r="J60" s="190" t="s">
        <v>435</v>
      </c>
      <c r="M60" s="190">
        <v>13.6</v>
      </c>
      <c r="N60" s="190" t="s">
        <v>4</v>
      </c>
    </row>
    <row r="61" spans="1:25" ht="16.5" customHeight="1">
      <c r="A61" s="190">
        <v>4</v>
      </c>
      <c r="B61" s="190">
        <v>0</v>
      </c>
      <c r="J61" s="95" t="s">
        <v>19</v>
      </c>
      <c r="K61" s="95" t="s">
        <v>434</v>
      </c>
      <c r="L61" s="95" t="s">
        <v>4</v>
      </c>
      <c r="M61" s="95" t="s">
        <v>427</v>
      </c>
      <c r="N61" s="95" t="s">
        <v>430</v>
      </c>
      <c r="O61" s="95" t="s">
        <v>432</v>
      </c>
    </row>
    <row r="62" spans="1:25" ht="16.5" customHeight="1">
      <c r="A62" s="190">
        <v>5.5</v>
      </c>
      <c r="B62" s="190">
        <v>1</v>
      </c>
      <c r="J62" s="190">
        <v>19.5</v>
      </c>
      <c r="K62" s="190">
        <v>0</v>
      </c>
      <c r="L62" s="190">
        <v>0</v>
      </c>
      <c r="M62" s="190">
        <f>M$60*M$60*3.14/100*K62</f>
        <v>0</v>
      </c>
    </row>
    <row r="63" spans="1:25" ht="16.5" customHeight="1">
      <c r="A63" s="190">
        <v>7</v>
      </c>
      <c r="B63" s="190">
        <v>2</v>
      </c>
      <c r="J63" s="190">
        <v>18.75</v>
      </c>
      <c r="K63" s="190">
        <v>1</v>
      </c>
      <c r="L63" s="190">
        <f>0.3*(J63-J$62)</f>
        <v>-0.22499999999999998</v>
      </c>
      <c r="M63" s="190">
        <f>M$60*M$60*3.14/4/100*K63</f>
        <v>1.4519360000000001</v>
      </c>
      <c r="N63" s="190">
        <f>M63/L63</f>
        <v>-6.4530488888888904</v>
      </c>
      <c r="O63" s="190">
        <f>K63/(J63-J62)</f>
        <v>-1.3333333333333333</v>
      </c>
    </row>
    <row r="64" spans="1:25" ht="16.5" customHeight="1">
      <c r="A64" s="190">
        <v>8.5</v>
      </c>
      <c r="B64" s="190">
        <v>3</v>
      </c>
      <c r="J64" s="190">
        <v>18</v>
      </c>
      <c r="K64" s="190">
        <v>2</v>
      </c>
      <c r="L64" s="190">
        <f>0.3*(J64-J$62)</f>
        <v>-0.44999999999999996</v>
      </c>
      <c r="M64" s="190">
        <f>M$60*M$60*3.14/4/100*K64</f>
        <v>2.9038720000000002</v>
      </c>
      <c r="N64" s="190">
        <f>M64/L64</f>
        <v>-6.4530488888888904</v>
      </c>
    </row>
    <row r="65" spans="1:16" ht="16.5" customHeight="1">
      <c r="J65" s="190">
        <v>17.399999999999999</v>
      </c>
      <c r="K65" s="190">
        <v>2.8</v>
      </c>
      <c r="L65" s="190">
        <f>0.3*(J65-J$62)</f>
        <v>-0.63000000000000045</v>
      </c>
      <c r="M65" s="190">
        <f>M$60*M$60*3.14/4/100*K65</f>
        <v>4.0654208000000001</v>
      </c>
      <c r="N65" s="190">
        <f>M65/L65</f>
        <v>-6.4530488888888842</v>
      </c>
    </row>
    <row r="66" spans="1:16" ht="16.5" customHeight="1">
      <c r="J66" s="190">
        <v>12</v>
      </c>
      <c r="K66" s="190">
        <v>2.8</v>
      </c>
      <c r="L66" s="190">
        <f>0.3*(J66-J$62)</f>
        <v>-2.25</v>
      </c>
      <c r="M66" s="190">
        <f>M$60*M$60*3.14/4/100*K66</f>
        <v>4.0654208000000001</v>
      </c>
    </row>
    <row r="69" spans="1:16" ht="16.5" customHeight="1">
      <c r="J69" s="190" t="s">
        <v>433</v>
      </c>
    </row>
    <row r="70" spans="1:16" ht="16.5" customHeight="1">
      <c r="J70" s="190" t="s">
        <v>431</v>
      </c>
      <c r="K70" s="190">
        <f>O63</f>
        <v>-1.3333333333333333</v>
      </c>
      <c r="L70" s="190" t="s">
        <v>432</v>
      </c>
    </row>
    <row r="71" spans="1:16" ht="16.5" customHeight="1">
      <c r="J71" s="190" t="s">
        <v>431</v>
      </c>
      <c r="K71" s="190">
        <f>N63</f>
        <v>-6.4530488888888904</v>
      </c>
      <c r="L71" s="190" t="s">
        <v>430</v>
      </c>
    </row>
    <row r="72" spans="1:16" ht="16.5" customHeight="1">
      <c r="A72" s="190" t="s">
        <v>429</v>
      </c>
      <c r="C72" s="71" t="s">
        <v>265</v>
      </c>
      <c r="J72" s="190" t="s">
        <v>428</v>
      </c>
      <c r="K72" s="190">
        <f>M65+A61</f>
        <v>8.0654208000000001</v>
      </c>
      <c r="L72" s="190" t="s">
        <v>427</v>
      </c>
      <c r="P72" s="190" t="s">
        <v>426</v>
      </c>
    </row>
    <row r="73" spans="1:16" ht="16.5" customHeight="1">
      <c r="C73" s="71"/>
      <c r="P73" s="190" t="s">
        <v>425</v>
      </c>
    </row>
    <row r="74" spans="1:16" ht="16.5" customHeight="1">
      <c r="C74" s="71"/>
      <c r="P74" s="190" t="s">
        <v>424</v>
      </c>
    </row>
    <row r="75" spans="1:16" ht="16.5" customHeight="1">
      <c r="A75" s="190" t="s">
        <v>415</v>
      </c>
      <c r="B75" s="154">
        <v>13.8</v>
      </c>
      <c r="C75" s="154">
        <v>8.1</v>
      </c>
      <c r="P75" s="190" t="s">
        <v>423</v>
      </c>
    </row>
    <row r="76" spans="1:16" ht="16.5" customHeight="1">
      <c r="A76" s="190" t="s">
        <v>414</v>
      </c>
      <c r="B76" s="154">
        <v>1</v>
      </c>
      <c r="C76" s="154">
        <v>0.7</v>
      </c>
      <c r="G76" s="190" t="s">
        <v>422</v>
      </c>
    </row>
    <row r="77" spans="1:16" ht="16.5" customHeight="1">
      <c r="A77" s="190" t="s">
        <v>4</v>
      </c>
      <c r="B77" s="190" t="s">
        <v>244</v>
      </c>
      <c r="C77" s="190" t="s">
        <v>244</v>
      </c>
      <c r="G77" s="190">
        <v>1</v>
      </c>
      <c r="H77" s="190">
        <v>2</v>
      </c>
      <c r="I77" s="190">
        <v>3</v>
      </c>
      <c r="J77" s="190">
        <v>4</v>
      </c>
      <c r="K77" s="190">
        <v>5</v>
      </c>
    </row>
    <row r="78" spans="1:16" ht="16.5" customHeight="1">
      <c r="A78" s="190">
        <v>0.75</v>
      </c>
      <c r="B78" s="190">
        <f t="shared" ref="B78:C80" si="1">B$76*B$75*3.14*$A78/20</f>
        <v>1.6249500000000001</v>
      </c>
      <c r="C78" s="190">
        <f t="shared" si="1"/>
        <v>0.66764250000000003</v>
      </c>
      <c r="E78" s="190" t="s">
        <v>421</v>
      </c>
      <c r="F78" s="190">
        <v>0.75</v>
      </c>
      <c r="G78" s="190">
        <v>0.104</v>
      </c>
      <c r="H78" s="190">
        <v>0.20300000000000001</v>
      </c>
      <c r="I78" s="190">
        <v>0.307</v>
      </c>
      <c r="J78" s="190">
        <v>0.45600000000000002</v>
      </c>
      <c r="K78" s="190">
        <v>0.69</v>
      </c>
      <c r="L78" s="190">
        <f>C78</f>
        <v>0.66764250000000003</v>
      </c>
    </row>
    <row r="79" spans="1:16" ht="16.5" customHeight="1">
      <c r="A79" s="190">
        <v>0.5</v>
      </c>
      <c r="B79" s="190">
        <f t="shared" si="1"/>
        <v>1.0832999999999999</v>
      </c>
      <c r="C79" s="190">
        <f t="shared" si="1"/>
        <v>0.44509499999999996</v>
      </c>
      <c r="E79" s="190" t="s">
        <v>420</v>
      </c>
      <c r="F79" s="190">
        <v>0.5</v>
      </c>
      <c r="G79" s="190">
        <v>7.2999999999999995E-2</v>
      </c>
      <c r="H79" s="190">
        <v>0.17399999999999999</v>
      </c>
      <c r="I79" s="190">
        <v>0.28499999999999998</v>
      </c>
      <c r="J79" s="190">
        <v>0.36099999999999999</v>
      </c>
      <c r="K79" s="190">
        <v>0.443</v>
      </c>
      <c r="L79" s="190">
        <f>C79</f>
        <v>0.44509499999999996</v>
      </c>
    </row>
    <row r="80" spans="1:16" ht="16.5" customHeight="1">
      <c r="A80" s="190">
        <v>0.25</v>
      </c>
      <c r="B80" s="190">
        <f t="shared" si="1"/>
        <v>0.54164999999999996</v>
      </c>
      <c r="C80" s="190">
        <f t="shared" si="1"/>
        <v>0.22254749999999998</v>
      </c>
      <c r="E80" s="190" t="s">
        <v>419</v>
      </c>
      <c r="F80" s="190">
        <v>0.25</v>
      </c>
      <c r="G80" s="190">
        <v>3.7999999999999999E-2</v>
      </c>
      <c r="H80" s="190">
        <v>8.8999999999999996E-2</v>
      </c>
      <c r="I80" s="190">
        <v>0.14899999999999999</v>
      </c>
      <c r="J80" s="190">
        <v>0.187</v>
      </c>
      <c r="K80" s="190">
        <v>0.23100000000000001</v>
      </c>
      <c r="L80" s="190">
        <f>C80</f>
        <v>0.22254749999999998</v>
      </c>
    </row>
    <row r="81" spans="1:28" ht="16.5" customHeight="1">
      <c r="G81" s="190" t="s">
        <v>418</v>
      </c>
    </row>
    <row r="82" spans="1:28" ht="16.5" customHeight="1">
      <c r="E82" s="190" t="s">
        <v>14</v>
      </c>
      <c r="F82" s="190">
        <v>10000</v>
      </c>
      <c r="G82" s="190">
        <f t="shared" ref="G82:K84" si="2">1000*G78*SQRT($F$82/100000)</f>
        <v>32.887687665751145</v>
      </c>
      <c r="H82" s="190">
        <f t="shared" si="2"/>
        <v>64.194236501418104</v>
      </c>
      <c r="I82" s="190">
        <f t="shared" si="2"/>
        <v>97.081924167169248</v>
      </c>
      <c r="J82" s="190">
        <f t="shared" si="2"/>
        <v>144.19986130367809</v>
      </c>
      <c r="K82" s="190">
        <f t="shared" si="2"/>
        <v>218.19715855161817</v>
      </c>
    </row>
    <row r="83" spans="1:28" ht="16.5" customHeight="1">
      <c r="G83" s="190">
        <f t="shared" si="2"/>
        <v>23.084626919229169</v>
      </c>
      <c r="H83" s="190">
        <f t="shared" si="2"/>
        <v>55.023631286929799</v>
      </c>
      <c r="I83" s="190">
        <f t="shared" si="2"/>
        <v>90.124913314798818</v>
      </c>
      <c r="J83" s="190">
        <f t="shared" si="2"/>
        <v>114.15822353207849</v>
      </c>
      <c r="K83" s="190">
        <f t="shared" si="2"/>
        <v>140.08890034545919</v>
      </c>
      <c r="Z83" s="2" t="s">
        <v>171</v>
      </c>
      <c r="AA83" s="1"/>
    </row>
    <row r="84" spans="1:28" ht="16.5" customHeight="1" thickBot="1">
      <c r="G84" s="190">
        <f t="shared" si="2"/>
        <v>12.016655108639842</v>
      </c>
      <c r="H84" s="190">
        <f t="shared" si="2"/>
        <v>28.144271175498577</v>
      </c>
      <c r="I84" s="190">
        <f t="shared" si="2"/>
        <v>47.11793713650885</v>
      </c>
      <c r="J84" s="190">
        <f t="shared" si="2"/>
        <v>59.134592245148696</v>
      </c>
      <c r="K84" s="190">
        <f t="shared" si="2"/>
        <v>73.048613949889571</v>
      </c>
      <c r="Q84" s="190" t="s">
        <v>417</v>
      </c>
      <c r="Z84" s="8" t="s">
        <v>2</v>
      </c>
      <c r="AA84" s="9" t="s">
        <v>1</v>
      </c>
      <c r="AB84" s="1" t="s">
        <v>172</v>
      </c>
    </row>
    <row r="85" spans="1:28" ht="16.5" customHeight="1" thickBot="1">
      <c r="Q85" s="1"/>
      <c r="R85" s="8" t="s">
        <v>2</v>
      </c>
      <c r="S85" s="9" t="s">
        <v>1</v>
      </c>
      <c r="T85" s="190" t="s">
        <v>244</v>
      </c>
      <c r="U85" s="190" t="s">
        <v>412</v>
      </c>
      <c r="V85" s="190" t="s">
        <v>415</v>
      </c>
      <c r="Z85" s="3">
        <v>1000</v>
      </c>
      <c r="AA85" s="3">
        <v>104</v>
      </c>
      <c r="AB85" s="1">
        <f>Z85/1000/SQRT(AA85/104)</f>
        <v>1</v>
      </c>
    </row>
    <row r="86" spans="1:28" ht="16.5" customHeight="1">
      <c r="A86" s="190" t="s">
        <v>416</v>
      </c>
      <c r="Q86" s="1">
        <v>1</v>
      </c>
      <c r="R86" s="1">
        <v>22.5</v>
      </c>
      <c r="S86" s="1">
        <v>3</v>
      </c>
      <c r="T86" s="1">
        <f t="shared" ref="T86:T93" si="3">R86/1000/SQRT(S86/104)</f>
        <v>0.13247641299491769</v>
      </c>
      <c r="U86" s="190">
        <f t="shared" ref="U86:U93" si="4">20*T86</f>
        <v>2.6495282598983536</v>
      </c>
      <c r="V86" s="190">
        <f t="shared" ref="V86:V93" si="5">SQRT(U86*4/3.14)</f>
        <v>1.8371704427023923</v>
      </c>
      <c r="Z86" s="3">
        <v>1000</v>
      </c>
      <c r="AA86" s="3">
        <v>104</v>
      </c>
      <c r="AB86" s="1">
        <f>Z86/1000/SQRT(AA86/104)</f>
        <v>1</v>
      </c>
    </row>
    <row r="87" spans="1:28" ht="16.5" customHeight="1">
      <c r="A87" s="190">
        <v>0.1</v>
      </c>
      <c r="D87" s="2">
        <v>3.5969940132289359E-2</v>
      </c>
      <c r="E87" s="2">
        <v>8.360335410884058E-2</v>
      </c>
      <c r="F87" s="2">
        <v>0.1943806053694335</v>
      </c>
      <c r="G87" s="2">
        <v>0.34762522947400126</v>
      </c>
      <c r="H87" s="2">
        <v>0.51601874328565045</v>
      </c>
      <c r="I87" s="2">
        <v>0.73850700699471772</v>
      </c>
      <c r="Q87" s="1">
        <v>2</v>
      </c>
      <c r="R87" s="1">
        <v>34</v>
      </c>
      <c r="S87" s="1">
        <v>3</v>
      </c>
      <c r="T87" s="1">
        <f t="shared" si="3"/>
        <v>0.20018657963676456</v>
      </c>
      <c r="U87" s="190">
        <f t="shared" si="4"/>
        <v>4.0037315927352912</v>
      </c>
      <c r="V87" s="190">
        <f t="shared" si="5"/>
        <v>2.2583832762825553</v>
      </c>
    </row>
    <row r="88" spans="1:28" ht="16.5" customHeight="1">
      <c r="A88" s="190" t="s">
        <v>415</v>
      </c>
      <c r="B88" s="190">
        <f>B75</f>
        <v>13.8</v>
      </c>
      <c r="C88" s="154">
        <v>11</v>
      </c>
      <c r="D88" s="2"/>
      <c r="E88" s="2"/>
      <c r="F88" s="2"/>
      <c r="G88" s="2"/>
      <c r="H88" s="2"/>
      <c r="I88" s="2"/>
      <c r="Q88" s="1">
        <v>3</v>
      </c>
      <c r="R88" s="1">
        <v>55</v>
      </c>
      <c r="S88" s="1">
        <v>3</v>
      </c>
      <c r="T88" s="1">
        <f t="shared" si="3"/>
        <v>0.32383123176535439</v>
      </c>
      <c r="U88" s="190">
        <f t="shared" si="4"/>
        <v>6.476624635307088</v>
      </c>
      <c r="V88" s="190">
        <f t="shared" si="5"/>
        <v>2.8723643993110297</v>
      </c>
    </row>
    <row r="89" spans="1:28" ht="16.5" customHeight="1">
      <c r="A89" s="190" t="s">
        <v>414</v>
      </c>
      <c r="B89" s="190">
        <v>0.8</v>
      </c>
      <c r="C89" s="190">
        <v>1</v>
      </c>
      <c r="D89" s="154">
        <f t="shared" ref="D89:I89" si="6">SQRT(D90*20*4/3.14)</f>
        <v>3.0703015474634876</v>
      </c>
      <c r="E89" s="154">
        <f t="shared" si="6"/>
        <v>3.7433593006153156</v>
      </c>
      <c r="F89" s="154">
        <f t="shared" si="6"/>
        <v>4.2829836614894976</v>
      </c>
      <c r="G89" s="154">
        <f t="shared" si="6"/>
        <v>5.2939094917656426</v>
      </c>
      <c r="H89" s="154">
        <f t="shared" si="6"/>
        <v>6.2841424124436109</v>
      </c>
      <c r="I89" s="154">
        <f t="shared" si="6"/>
        <v>7.9006570717634039</v>
      </c>
      <c r="J89" s="190" t="s">
        <v>413</v>
      </c>
      <c r="Q89" s="1">
        <v>4</v>
      </c>
      <c r="R89" s="1">
        <v>65</v>
      </c>
      <c r="S89" s="1">
        <v>3</v>
      </c>
      <c r="T89" s="1">
        <f t="shared" si="3"/>
        <v>0.38270963754087339</v>
      </c>
      <c r="U89" s="190">
        <f t="shared" si="4"/>
        <v>7.6541927508174679</v>
      </c>
      <c r="V89" s="190">
        <f t="shared" si="5"/>
        <v>3.1225893123784649</v>
      </c>
    </row>
    <row r="90" spans="1:28" ht="16.5" customHeight="1">
      <c r="A90" s="190" t="s">
        <v>4</v>
      </c>
      <c r="B90" s="190" t="s">
        <v>244</v>
      </c>
      <c r="C90" s="190" t="s">
        <v>244</v>
      </c>
      <c r="D90" s="2">
        <v>0.37</v>
      </c>
      <c r="E90" s="2">
        <v>0.55000000000000004</v>
      </c>
      <c r="F90" s="2">
        <v>0.72</v>
      </c>
      <c r="G90" s="2">
        <v>1.1000000000000001</v>
      </c>
      <c r="H90" s="2">
        <v>1.55</v>
      </c>
      <c r="I90" s="2">
        <v>2.4500000000000002</v>
      </c>
      <c r="J90" s="190" t="s">
        <v>406</v>
      </c>
      <c r="Q90" s="1">
        <v>5</v>
      </c>
      <c r="R90" s="1">
        <v>80</v>
      </c>
      <c r="S90" s="1">
        <v>3</v>
      </c>
      <c r="T90" s="1">
        <f t="shared" si="3"/>
        <v>0.47102724620415187</v>
      </c>
      <c r="U90" s="190">
        <f t="shared" si="4"/>
        <v>9.4205449240830372</v>
      </c>
      <c r="V90" s="190">
        <f t="shared" si="5"/>
        <v>3.4642018086142756</v>
      </c>
    </row>
    <row r="91" spans="1:28" ht="16.5" customHeight="1">
      <c r="A91" s="190">
        <v>0.1</v>
      </c>
      <c r="B91" s="190">
        <f t="shared" ref="B91:C102" si="7">B$89*B$88*3.14*($A91-$A$87)/20</f>
        <v>0</v>
      </c>
      <c r="C91" s="190">
        <f t="shared" si="7"/>
        <v>0</v>
      </c>
      <c r="D91" s="190">
        <f t="shared" ref="D91:I102" si="8">$C91*D$90/SQRT($C91^2+D$90^2)</f>
        <v>0</v>
      </c>
      <c r="E91" s="190">
        <f t="shared" si="8"/>
        <v>0</v>
      </c>
      <c r="F91" s="190">
        <f t="shared" si="8"/>
        <v>0</v>
      </c>
      <c r="G91" s="190">
        <f t="shared" si="8"/>
        <v>0</v>
      </c>
      <c r="H91" s="190">
        <f t="shared" si="8"/>
        <v>0</v>
      </c>
      <c r="I91" s="190">
        <f t="shared" si="8"/>
        <v>0</v>
      </c>
      <c r="Q91" s="1">
        <v>6</v>
      </c>
      <c r="R91" s="1">
        <v>100</v>
      </c>
      <c r="S91" s="1">
        <v>3</v>
      </c>
      <c r="T91" s="1">
        <f t="shared" si="3"/>
        <v>0.58878405775518983</v>
      </c>
      <c r="U91" s="190">
        <f t="shared" si="4"/>
        <v>11.775681155103797</v>
      </c>
      <c r="V91" s="190">
        <f t="shared" si="5"/>
        <v>3.8730953659196179</v>
      </c>
    </row>
    <row r="92" spans="1:28" ht="16.5" customHeight="1">
      <c r="A92" s="190">
        <v>0.2</v>
      </c>
      <c r="B92" s="190">
        <f t="shared" si="7"/>
        <v>0.17332800000000004</v>
      </c>
      <c r="C92" s="190">
        <f t="shared" si="7"/>
        <v>0.17270000000000002</v>
      </c>
      <c r="D92" s="190">
        <f t="shared" si="8"/>
        <v>0.15649242517103742</v>
      </c>
      <c r="E92" s="190">
        <f t="shared" si="8"/>
        <v>0.16476817479057451</v>
      </c>
      <c r="F92" s="190">
        <f t="shared" si="8"/>
        <v>0.16793657861251537</v>
      </c>
      <c r="G92" s="190">
        <f t="shared" si="8"/>
        <v>0.17061011562339842</v>
      </c>
      <c r="H92" s="190">
        <f t="shared" si="8"/>
        <v>0.17163790623214639</v>
      </c>
      <c r="I92" s="190">
        <f t="shared" si="8"/>
        <v>0.17227253547672552</v>
      </c>
      <c r="Q92" s="1">
        <v>7</v>
      </c>
      <c r="R92" s="1">
        <v>115</v>
      </c>
      <c r="S92" s="1">
        <v>3</v>
      </c>
      <c r="T92" s="1">
        <f t="shared" si="3"/>
        <v>0.67710166641846825</v>
      </c>
      <c r="U92" s="190">
        <f t="shared" si="4"/>
        <v>13.542033328369365</v>
      </c>
      <c r="V92" s="190">
        <f t="shared" si="5"/>
        <v>4.1534320592173195</v>
      </c>
    </row>
    <row r="93" spans="1:28" ht="16.5" customHeight="1">
      <c r="A93" s="190">
        <v>0.3</v>
      </c>
      <c r="B93" s="190">
        <f>B$89*B$88*3.14*($A93-$A$87)/20</f>
        <v>0.34665600000000002</v>
      </c>
      <c r="C93" s="190">
        <f t="shared" si="7"/>
        <v>0.34539999999999998</v>
      </c>
      <c r="D93" s="190">
        <f t="shared" si="8"/>
        <v>0.25248379622180517</v>
      </c>
      <c r="E93" s="190">
        <f t="shared" si="8"/>
        <v>0.29250354766521092</v>
      </c>
      <c r="F93" s="190">
        <f t="shared" si="8"/>
        <v>0.31141980338191966</v>
      </c>
      <c r="G93" s="190">
        <f t="shared" si="8"/>
        <v>0.32953634958114897</v>
      </c>
      <c r="H93" s="190">
        <f t="shared" si="8"/>
        <v>0.33713093987824994</v>
      </c>
      <c r="I93" s="190">
        <f t="shared" si="8"/>
        <v>0.34201787783314114</v>
      </c>
      <c r="Q93" s="1">
        <v>8</v>
      </c>
      <c r="R93" s="1">
        <v>130</v>
      </c>
      <c r="S93" s="1">
        <v>3</v>
      </c>
      <c r="T93" s="1">
        <f t="shared" si="3"/>
        <v>0.76541927508174679</v>
      </c>
      <c r="U93" s="190">
        <f t="shared" si="4"/>
        <v>15.308385501634936</v>
      </c>
      <c r="V93" s="190">
        <f t="shared" si="5"/>
        <v>4.4160081552869022</v>
      </c>
    </row>
    <row r="94" spans="1:28" ht="16.5" customHeight="1">
      <c r="A94" s="190">
        <v>0.4</v>
      </c>
      <c r="B94" s="190">
        <f t="shared" si="7"/>
        <v>0.51998400000000022</v>
      </c>
      <c r="C94" s="190">
        <f t="shared" si="7"/>
        <v>0.51810000000000012</v>
      </c>
      <c r="D94" s="190">
        <f t="shared" si="8"/>
        <v>0.30110101700731318</v>
      </c>
      <c r="E94" s="190">
        <f t="shared" si="8"/>
        <v>0.37712537827882742</v>
      </c>
      <c r="F94" s="190">
        <f t="shared" si="8"/>
        <v>0.42053901505228497</v>
      </c>
      <c r="G94" s="190">
        <f t="shared" si="8"/>
        <v>0.46871218637404893</v>
      </c>
      <c r="H94" s="190">
        <f t="shared" si="8"/>
        <v>0.49137632928618069</v>
      </c>
      <c r="I94" s="190">
        <f t="shared" si="8"/>
        <v>0.50689006939842873</v>
      </c>
    </row>
    <row r="95" spans="1:28" ht="16.5" customHeight="1">
      <c r="A95" s="190">
        <v>0.6</v>
      </c>
      <c r="B95" s="190">
        <f t="shared" si="7"/>
        <v>0.86664000000000008</v>
      </c>
      <c r="C95" s="190">
        <f t="shared" si="7"/>
        <v>0.86349999999999993</v>
      </c>
      <c r="D95" s="190">
        <f t="shared" si="8"/>
        <v>0.34009384618296629</v>
      </c>
      <c r="E95" s="190">
        <f t="shared" si="8"/>
        <v>0.46389211364213556</v>
      </c>
      <c r="F95" s="190">
        <f t="shared" si="8"/>
        <v>0.55298806875141537</v>
      </c>
      <c r="G95" s="190">
        <f t="shared" si="8"/>
        <v>0.679221511317458</v>
      </c>
      <c r="H95" s="190">
        <f t="shared" si="8"/>
        <v>0.75434072682881703</v>
      </c>
      <c r="I95" s="190">
        <f t="shared" si="8"/>
        <v>0.814397878410553</v>
      </c>
      <c r="Q95" s="1"/>
      <c r="R95" s="1" t="s">
        <v>138</v>
      </c>
      <c r="S95" s="1"/>
    </row>
    <row r="96" spans="1:28" ht="16.5" customHeight="1">
      <c r="A96" s="190">
        <v>0.8</v>
      </c>
      <c r="B96" s="190">
        <f t="shared" si="7"/>
        <v>1.2132960000000002</v>
      </c>
      <c r="C96" s="190">
        <f t="shared" si="7"/>
        <v>1.2089000000000001</v>
      </c>
      <c r="D96" s="190">
        <f t="shared" si="8"/>
        <v>0.35379983404477916</v>
      </c>
      <c r="E96" s="190">
        <f t="shared" si="8"/>
        <v>0.50062353209952992</v>
      </c>
      <c r="F96" s="190">
        <f t="shared" si="8"/>
        <v>0.61859714814663314</v>
      </c>
      <c r="G96" s="190">
        <f t="shared" si="8"/>
        <v>0.81359901611639418</v>
      </c>
      <c r="H96" s="190">
        <f t="shared" si="8"/>
        <v>0.9532502616566737</v>
      </c>
      <c r="I96" s="190">
        <f t="shared" si="8"/>
        <v>1.084107665215436</v>
      </c>
      <c r="Q96" s="1"/>
      <c r="R96" s="1" t="s">
        <v>137</v>
      </c>
      <c r="S96" s="1"/>
    </row>
    <row r="97" spans="1:22" ht="16.5" customHeight="1" thickBot="1">
      <c r="A97" s="190">
        <v>1</v>
      </c>
      <c r="B97" s="190">
        <f t="shared" si="7"/>
        <v>1.5599520000000002</v>
      </c>
      <c r="C97" s="190">
        <f t="shared" si="7"/>
        <v>1.5543</v>
      </c>
      <c r="D97" s="190">
        <f t="shared" si="8"/>
        <v>0.35994202621045096</v>
      </c>
      <c r="E97" s="190">
        <f t="shared" si="8"/>
        <v>0.51849547481554914</v>
      </c>
      <c r="F97" s="190">
        <f t="shared" si="8"/>
        <v>0.65330938732017263</v>
      </c>
      <c r="G97" s="190">
        <f t="shared" si="8"/>
        <v>0.8978891132119029</v>
      </c>
      <c r="H97" s="190">
        <f t="shared" si="8"/>
        <v>1.0975326316414191</v>
      </c>
      <c r="I97" s="190">
        <f t="shared" si="8"/>
        <v>1.3124642463290237</v>
      </c>
      <c r="Q97" s="1"/>
      <c r="R97" s="8" t="s">
        <v>2</v>
      </c>
      <c r="S97" s="9" t="s">
        <v>1</v>
      </c>
      <c r="T97" s="190" t="s">
        <v>244</v>
      </c>
      <c r="U97" s="190" t="s">
        <v>412</v>
      </c>
    </row>
    <row r="98" spans="1:22" ht="16.5" customHeight="1">
      <c r="A98" s="190">
        <v>1.2</v>
      </c>
      <c r="B98" s="190">
        <f t="shared" si="7"/>
        <v>1.9066079999999999</v>
      </c>
      <c r="C98" s="190">
        <f t="shared" si="7"/>
        <v>1.8996999999999997</v>
      </c>
      <c r="D98" s="190">
        <f t="shared" si="8"/>
        <v>0.36317568786124532</v>
      </c>
      <c r="E98" s="190">
        <f t="shared" si="8"/>
        <v>0.52830389449233095</v>
      </c>
      <c r="F98" s="190">
        <f t="shared" si="8"/>
        <v>0.67326587145816508</v>
      </c>
      <c r="G98" s="190">
        <f t="shared" si="8"/>
        <v>0.95193117369041436</v>
      </c>
      <c r="H98" s="190">
        <f t="shared" si="8"/>
        <v>1.2009649950638617</v>
      </c>
      <c r="I98" s="190">
        <f t="shared" si="8"/>
        <v>1.5012695739076782</v>
      </c>
      <c r="Q98" s="1">
        <v>0.5</v>
      </c>
      <c r="R98" s="1">
        <v>2.4500000000000002</v>
      </c>
      <c r="S98" s="1">
        <v>1</v>
      </c>
      <c r="T98" s="1">
        <f t="shared" ref="T98:T104" si="9">R98/1000/SQRT(S98/104)</f>
        <v>2.4985195616604648E-2</v>
      </c>
      <c r="U98" s="190">
        <f t="shared" ref="U98:U104" si="10">20*T98</f>
        <v>0.49970391233209294</v>
      </c>
      <c r="V98" s="190">
        <f t="shared" ref="V98:V104" si="11">SQRT(U98*4/3.14)</f>
        <v>0.79785054578954751</v>
      </c>
    </row>
    <row r="99" spans="1:22" ht="16.5" customHeight="1">
      <c r="A99" s="190">
        <v>1.4</v>
      </c>
      <c r="B99" s="190">
        <f t="shared" si="7"/>
        <v>2.2532640000000002</v>
      </c>
      <c r="C99" s="190">
        <f t="shared" si="7"/>
        <v>2.2450999999999999</v>
      </c>
      <c r="D99" s="190">
        <f t="shared" si="8"/>
        <v>0.36507546270257468</v>
      </c>
      <c r="E99" s="190">
        <f t="shared" si="8"/>
        <v>0.5342036469183935</v>
      </c>
      <c r="F99" s="190">
        <f t="shared" si="8"/>
        <v>0.68560625446624268</v>
      </c>
      <c r="G99" s="190">
        <f t="shared" si="8"/>
        <v>0.98780654229587039</v>
      </c>
      <c r="H99" s="190">
        <f t="shared" si="8"/>
        <v>1.2755401600219105</v>
      </c>
      <c r="I99" s="190">
        <f t="shared" si="8"/>
        <v>1.6552315251929357</v>
      </c>
      <c r="Q99" s="1">
        <v>1.5</v>
      </c>
      <c r="R99" s="1">
        <v>4.8</v>
      </c>
      <c r="S99" s="1">
        <v>1</v>
      </c>
      <c r="T99" s="1">
        <f t="shared" si="9"/>
        <v>4.8950587330490729E-2</v>
      </c>
      <c r="U99" s="190">
        <f t="shared" si="10"/>
        <v>0.9790117466098146</v>
      </c>
      <c r="V99" s="190">
        <f t="shared" si="11"/>
        <v>1.1167581303916896</v>
      </c>
    </row>
    <row r="100" spans="1:22" ht="16.5" customHeight="1">
      <c r="A100" s="190">
        <v>1.6</v>
      </c>
      <c r="B100" s="190">
        <f t="shared" si="7"/>
        <v>2.59992</v>
      </c>
      <c r="C100" s="190">
        <f t="shared" si="7"/>
        <v>2.5905</v>
      </c>
      <c r="D100" s="190">
        <f t="shared" si="8"/>
        <v>0.36628272646696386</v>
      </c>
      <c r="E100" s="190">
        <f t="shared" si="8"/>
        <v>0.53800768089187279</v>
      </c>
      <c r="F100" s="190">
        <f t="shared" si="8"/>
        <v>0.69370411344688621</v>
      </c>
      <c r="G100" s="190">
        <f t="shared" si="8"/>
        <v>1.0124993820463377</v>
      </c>
      <c r="H100" s="190">
        <f t="shared" si="8"/>
        <v>1.3300870845176871</v>
      </c>
      <c r="I100" s="190">
        <f t="shared" si="8"/>
        <v>1.7800098596237262</v>
      </c>
      <c r="Q100" s="1">
        <v>2.5</v>
      </c>
      <c r="R100" s="1">
        <v>12.5</v>
      </c>
      <c r="S100" s="1">
        <v>1</v>
      </c>
      <c r="T100" s="1">
        <f t="shared" si="9"/>
        <v>0.12747548783981963</v>
      </c>
      <c r="U100" s="190">
        <f t="shared" si="10"/>
        <v>2.5495097567963927</v>
      </c>
      <c r="V100" s="190">
        <f t="shared" si="11"/>
        <v>1.8021606836453106</v>
      </c>
    </row>
    <row r="101" spans="1:22" ht="16.5" customHeight="1">
      <c r="A101" s="190">
        <v>1.8</v>
      </c>
      <c r="B101" s="190">
        <f t="shared" si="7"/>
        <v>2.9465760000000003</v>
      </c>
      <c r="C101" s="190">
        <f t="shared" si="7"/>
        <v>2.9358999999999997</v>
      </c>
      <c r="D101" s="190">
        <f t="shared" si="8"/>
        <v>0.36709626716744104</v>
      </c>
      <c r="E101" s="190">
        <f t="shared" si="8"/>
        <v>0.5405957468649939</v>
      </c>
      <c r="F101" s="190">
        <f t="shared" si="8"/>
        <v>0.69927877347989154</v>
      </c>
      <c r="G101" s="190">
        <f t="shared" si="8"/>
        <v>1.0300730765253114</v>
      </c>
      <c r="H101" s="190">
        <f t="shared" si="8"/>
        <v>1.3707005284283518</v>
      </c>
      <c r="I101" s="190">
        <f t="shared" si="8"/>
        <v>1.8810650861160327</v>
      </c>
      <c r="Q101" s="1">
        <v>3.5</v>
      </c>
      <c r="R101" s="1">
        <v>27</v>
      </c>
      <c r="S101" s="1">
        <v>1</v>
      </c>
      <c r="T101" s="1">
        <f t="shared" si="9"/>
        <v>0.27534705373401036</v>
      </c>
      <c r="U101" s="190">
        <f t="shared" si="10"/>
        <v>5.5069410746802072</v>
      </c>
      <c r="V101" s="190">
        <f t="shared" si="11"/>
        <v>2.6486244656617846</v>
      </c>
    </row>
    <row r="102" spans="1:22" ht="16.5" customHeight="1">
      <c r="A102" s="190">
        <v>2</v>
      </c>
      <c r="B102" s="190">
        <f t="shared" si="7"/>
        <v>3.2932320000000006</v>
      </c>
      <c r="C102" s="190">
        <f t="shared" si="7"/>
        <v>3.2812999999999994</v>
      </c>
      <c r="D102" s="190">
        <f t="shared" si="8"/>
        <v>0.3676699472875567</v>
      </c>
      <c r="E102" s="190">
        <f t="shared" si="8"/>
        <v>0.54243287775870808</v>
      </c>
      <c r="F102" s="190">
        <f t="shared" si="8"/>
        <v>0.70326873315027172</v>
      </c>
      <c r="G102" s="190">
        <f t="shared" si="8"/>
        <v>1.0429557280487154</v>
      </c>
      <c r="H102" s="190">
        <f t="shared" si="8"/>
        <v>1.4015033903684004</v>
      </c>
      <c r="I102" s="190">
        <f t="shared" si="8"/>
        <v>1.9631472518149347</v>
      </c>
      <c r="Q102" s="1">
        <v>4.5</v>
      </c>
      <c r="R102" s="1">
        <v>42</v>
      </c>
      <c r="S102" s="1">
        <v>1</v>
      </c>
      <c r="T102" s="1">
        <f t="shared" si="9"/>
        <v>0.42831763914179394</v>
      </c>
      <c r="U102" s="190">
        <f t="shared" si="10"/>
        <v>8.5663527828358781</v>
      </c>
      <c r="V102" s="190">
        <f t="shared" si="11"/>
        <v>3.3034150989111999</v>
      </c>
    </row>
    <row r="103" spans="1:22" ht="16.5" customHeight="1">
      <c r="Q103" s="1">
        <v>5.5</v>
      </c>
      <c r="R103" s="1">
        <v>60</v>
      </c>
      <c r="S103" s="1">
        <v>1</v>
      </c>
      <c r="T103" s="1">
        <f t="shared" si="9"/>
        <v>0.61188234163113409</v>
      </c>
      <c r="U103" s="190">
        <f t="shared" si="10"/>
        <v>12.237646832622682</v>
      </c>
      <c r="V103" s="190">
        <f t="shared" si="11"/>
        <v>3.9483362347258719</v>
      </c>
    </row>
    <row r="104" spans="1:22" ht="16.5" customHeight="1">
      <c r="Q104" s="1">
        <v>6.5</v>
      </c>
      <c r="R104" s="1">
        <v>86</v>
      </c>
      <c r="S104" s="1">
        <v>1</v>
      </c>
      <c r="T104" s="1">
        <f t="shared" si="9"/>
        <v>0.87703135633795881</v>
      </c>
      <c r="U104" s="190">
        <f t="shared" si="10"/>
        <v>17.540627126759176</v>
      </c>
      <c r="V104" s="190">
        <f t="shared" si="11"/>
        <v>4.7270231575672756</v>
      </c>
    </row>
    <row r="105" spans="1:22" ht="16.5" customHeight="1">
      <c r="A105" s="190" t="s">
        <v>411</v>
      </c>
      <c r="B105" s="190">
        <v>0.8</v>
      </c>
      <c r="C105" s="190">
        <v>1</v>
      </c>
      <c r="T105" s="190" t="s">
        <v>244</v>
      </c>
    </row>
    <row r="106" spans="1:22" ht="16.5" customHeight="1">
      <c r="A106" s="190" t="s">
        <v>410</v>
      </c>
      <c r="B106" s="190">
        <f>180/3.14*ASIN(B105)</f>
        <v>53.157050713468216</v>
      </c>
      <c r="C106" s="190">
        <f>180/3.14*ASIN(C105)</f>
        <v>90.045649306713813</v>
      </c>
      <c r="Q106" s="1">
        <v>1</v>
      </c>
      <c r="T106" s="2">
        <f t="shared" ref="T106:T111" si="12">U106/20</f>
        <v>3.5969940132289359E-2</v>
      </c>
      <c r="U106" s="190">
        <f t="shared" ref="U106:U111" si="13">V106*V106*3.14/4</f>
        <v>0.71939880264578715</v>
      </c>
      <c r="V106" s="190">
        <f t="shared" ref="V106:V111" si="14">V98/2+V99/2</f>
        <v>0.95730433809061855</v>
      </c>
    </row>
    <row r="107" spans="1:22" ht="16.5" customHeight="1">
      <c r="B107" s="190">
        <f>90-B106</f>
        <v>36.842949286531784</v>
      </c>
      <c r="C107" s="190">
        <f>90-C106</f>
        <v>-4.5649306713812621E-2</v>
      </c>
      <c r="E107" s="190" t="s">
        <v>244</v>
      </c>
      <c r="F107" s="190">
        <v>0.8</v>
      </c>
      <c r="G107" s="190">
        <v>0</v>
      </c>
      <c r="Q107" s="1">
        <v>2</v>
      </c>
      <c r="T107" s="2">
        <f t="shared" si="12"/>
        <v>8.360335410884058E-2</v>
      </c>
      <c r="U107" s="190">
        <f t="shared" si="13"/>
        <v>1.6720670821768115</v>
      </c>
      <c r="V107" s="190">
        <f t="shared" si="14"/>
        <v>1.4594594070185001</v>
      </c>
    </row>
    <row r="108" spans="1:22" ht="16.5" customHeight="1">
      <c r="E108" s="190" t="s">
        <v>4</v>
      </c>
      <c r="F108" s="190">
        <v>0.46</v>
      </c>
      <c r="G108" s="190">
        <v>0.1</v>
      </c>
      <c r="Q108" s="1">
        <v>3</v>
      </c>
      <c r="T108" s="2">
        <f t="shared" si="12"/>
        <v>0.1943806053694335</v>
      </c>
      <c r="U108" s="190">
        <f t="shared" si="13"/>
        <v>3.8876121073886698</v>
      </c>
      <c r="V108" s="190">
        <f t="shared" si="14"/>
        <v>2.2253925746535477</v>
      </c>
    </row>
    <row r="109" spans="1:22" ht="16.5" customHeight="1">
      <c r="Q109" s="1">
        <v>4</v>
      </c>
      <c r="T109" s="2">
        <f t="shared" si="12"/>
        <v>0.34762522947400126</v>
      </c>
      <c r="U109" s="190">
        <f t="shared" si="13"/>
        <v>6.952504589480025</v>
      </c>
      <c r="V109" s="190">
        <f t="shared" si="14"/>
        <v>2.9760197822864924</v>
      </c>
    </row>
    <row r="110" spans="1:22" ht="16.5" customHeight="1">
      <c r="F110" s="190">
        <f>F107/(F108-G108)</f>
        <v>2.2222222222222223</v>
      </c>
      <c r="G110" s="190" t="s">
        <v>409</v>
      </c>
      <c r="Q110" s="1">
        <v>5</v>
      </c>
      <c r="T110" s="2">
        <f t="shared" si="12"/>
        <v>0.51601874328565045</v>
      </c>
      <c r="U110" s="190">
        <f t="shared" si="13"/>
        <v>10.32037486571301</v>
      </c>
      <c r="V110" s="190">
        <f t="shared" si="14"/>
        <v>3.6258756668185361</v>
      </c>
    </row>
    <row r="111" spans="1:22" ht="16.5" customHeight="1">
      <c r="F111" s="190">
        <f>F110/4</f>
        <v>0.55555555555555558</v>
      </c>
      <c r="G111" s="190" t="s">
        <v>408</v>
      </c>
      <c r="Q111" s="1">
        <v>6</v>
      </c>
      <c r="T111" s="2">
        <f t="shared" si="12"/>
        <v>0.73850700699471772</v>
      </c>
      <c r="U111" s="190">
        <f t="shared" si="13"/>
        <v>14.770140139894353</v>
      </c>
      <c r="V111" s="190">
        <f t="shared" si="14"/>
        <v>4.3376796961465738</v>
      </c>
    </row>
    <row r="113" spans="1:20" ht="16.5" customHeight="1">
      <c r="E113" s="190">
        <v>0.3</v>
      </c>
      <c r="F113" s="190">
        <f>E113/F$111</f>
        <v>0.53999999999999992</v>
      </c>
    </row>
    <row r="114" spans="1:20" ht="16.5" customHeight="1">
      <c r="E114" s="190">
        <v>0.1</v>
      </c>
      <c r="F114" s="190">
        <f>E114/F$111</f>
        <v>0.18</v>
      </c>
    </row>
    <row r="115" spans="1:20" ht="16.5" customHeight="1">
      <c r="F115" s="190">
        <f>E115/F$111</f>
        <v>0</v>
      </c>
    </row>
    <row r="117" spans="1:20" ht="16.5" customHeight="1">
      <c r="A117" s="297" t="s">
        <v>1178</v>
      </c>
    </row>
    <row r="118" spans="1:20" ht="16.5" customHeight="1">
      <c r="A118" s="297" t="s">
        <v>1028</v>
      </c>
    </row>
    <row r="120" spans="1:20" ht="16.5" customHeight="1">
      <c r="B120" s="86" t="s">
        <v>1177</v>
      </c>
    </row>
    <row r="121" spans="1:20" ht="16.5" customHeight="1">
      <c r="M121" s="297"/>
      <c r="N121" s="297"/>
      <c r="O121" s="297"/>
      <c r="P121" s="297"/>
      <c r="Q121" s="297"/>
      <c r="R121" s="297"/>
      <c r="S121" s="297"/>
    </row>
    <row r="122" spans="1:20" ht="16.5" customHeight="1">
      <c r="A122" s="297"/>
      <c r="B122" s="86" t="s">
        <v>1175</v>
      </c>
      <c r="C122" s="297"/>
      <c r="D122" s="297"/>
      <c r="E122" s="297"/>
      <c r="F122" s="297"/>
      <c r="G122" s="297"/>
      <c r="H122" s="297"/>
      <c r="I122" s="297"/>
      <c r="J122" s="297"/>
      <c r="K122" s="297"/>
      <c r="L122" s="297"/>
      <c r="M122" s="297"/>
      <c r="N122" s="297"/>
      <c r="O122" s="297"/>
      <c r="P122" s="297"/>
      <c r="Q122" s="297"/>
      <c r="R122" s="297"/>
      <c r="S122" s="297"/>
      <c r="T122" s="297"/>
    </row>
    <row r="123" spans="1:20" ht="16.5" customHeight="1">
      <c r="A123" s="297"/>
      <c r="B123" s="297" t="s">
        <v>1174</v>
      </c>
      <c r="C123" s="297">
        <v>15.8</v>
      </c>
      <c r="D123" s="297" t="s">
        <v>4</v>
      </c>
      <c r="E123" s="297" t="s">
        <v>1173</v>
      </c>
      <c r="F123" s="297"/>
      <c r="G123" s="297"/>
      <c r="H123" s="297"/>
      <c r="I123" s="297"/>
      <c r="J123" s="297"/>
      <c r="K123" s="297"/>
      <c r="L123" s="297"/>
      <c r="M123" s="297"/>
      <c r="N123" s="297"/>
      <c r="O123" s="297"/>
      <c r="P123" s="297"/>
      <c r="Q123" s="297"/>
      <c r="R123" s="297"/>
      <c r="S123" s="297"/>
      <c r="T123" s="297"/>
    </row>
    <row r="124" spans="1:20" ht="16.5" customHeight="1">
      <c r="A124" s="297"/>
      <c r="B124" s="297" t="s">
        <v>1172</v>
      </c>
      <c r="C124" s="297"/>
      <c r="D124" s="297"/>
      <c r="E124" s="297"/>
      <c r="F124" s="297"/>
      <c r="G124" s="297"/>
      <c r="H124" s="297"/>
      <c r="I124" s="297"/>
      <c r="J124" s="297"/>
      <c r="K124" s="297"/>
      <c r="L124" s="297"/>
      <c r="M124" s="297"/>
      <c r="N124" s="297"/>
      <c r="O124" s="297"/>
      <c r="P124" s="297"/>
      <c r="Q124" s="297"/>
      <c r="R124" s="297"/>
      <c r="S124" s="297"/>
      <c r="T124" s="297"/>
    </row>
    <row r="125" spans="1:20" ht="16.5" customHeight="1">
      <c r="A125" s="297"/>
      <c r="B125" s="297" t="s">
        <v>1164</v>
      </c>
      <c r="C125" s="297"/>
      <c r="D125" s="297">
        <f>C123/F125</f>
        <v>1.2153846153846155</v>
      </c>
      <c r="E125" s="297"/>
      <c r="F125" s="154">
        <v>13</v>
      </c>
      <c r="G125" s="297" t="s">
        <v>415</v>
      </c>
      <c r="H125" s="297"/>
      <c r="I125" s="297"/>
      <c r="J125" s="297"/>
      <c r="K125" s="297"/>
      <c r="L125" s="297"/>
      <c r="M125" s="297"/>
      <c r="N125" s="297"/>
      <c r="O125" s="297"/>
      <c r="P125" s="297"/>
      <c r="Q125" s="297"/>
      <c r="R125" s="297"/>
      <c r="S125" s="297"/>
      <c r="T125" s="297"/>
    </row>
    <row r="126" spans="1:20" ht="16.5" customHeight="1">
      <c r="A126" s="297"/>
      <c r="B126" s="297"/>
      <c r="C126" s="297"/>
      <c r="D126" s="297"/>
      <c r="E126" s="297"/>
      <c r="F126" s="154">
        <v>1.5</v>
      </c>
      <c r="G126" s="297" t="s">
        <v>1165</v>
      </c>
      <c r="H126" s="297"/>
      <c r="I126" s="297"/>
      <c r="J126" s="297"/>
      <c r="K126" s="297"/>
      <c r="L126" s="297"/>
      <c r="M126" s="297"/>
      <c r="N126" s="297"/>
      <c r="O126" s="297"/>
      <c r="P126" s="297"/>
      <c r="Q126" s="297"/>
      <c r="R126" s="297"/>
      <c r="S126" s="297"/>
      <c r="T126" s="297"/>
    </row>
    <row r="127" spans="1:20" ht="16.5" customHeight="1">
      <c r="A127" s="297"/>
      <c r="B127" s="297" t="s">
        <v>2</v>
      </c>
      <c r="C127" s="297" t="s">
        <v>1</v>
      </c>
      <c r="D127" s="297" t="s">
        <v>1176</v>
      </c>
      <c r="E127" s="297" t="s">
        <v>246</v>
      </c>
      <c r="F127" s="297" t="s">
        <v>246</v>
      </c>
      <c r="G127" s="297">
        <v>1.5</v>
      </c>
      <c r="H127" s="297" t="s">
        <v>1163</v>
      </c>
      <c r="I127" s="297"/>
      <c r="J127" s="297"/>
      <c r="K127" s="297"/>
      <c r="L127" s="297"/>
      <c r="M127" s="297"/>
      <c r="N127" s="297"/>
      <c r="O127" s="297"/>
      <c r="P127" s="297"/>
      <c r="Q127" s="297"/>
      <c r="R127" s="297"/>
      <c r="S127" s="297"/>
      <c r="T127" s="297"/>
    </row>
    <row r="128" spans="1:20" ht="16.5" customHeight="1">
      <c r="A128" s="297">
        <v>1</v>
      </c>
      <c r="B128" s="297">
        <v>30</v>
      </c>
      <c r="C128" s="297">
        <v>1</v>
      </c>
      <c r="D128" s="1">
        <f t="shared" ref="D128:D135" si="15">B128/1000/SQRT(C128/100)</f>
        <v>0.3</v>
      </c>
      <c r="E128" s="304">
        <f t="shared" ref="E128:E135" si="16">G128*F128/SQRT(G128^2+F128^2)</f>
        <v>0.29996593310340797</v>
      </c>
      <c r="F128" s="297">
        <f t="shared" ref="F128:F135" si="17">A128/10*F$126*F$125*3.14/20</f>
        <v>0.30615000000000003</v>
      </c>
      <c r="G128" s="297">
        <f t="shared" ref="G128:G135" si="18">G127</f>
        <v>1.5</v>
      </c>
      <c r="H128" s="297">
        <f t="shared" ref="H128:H135" si="19">E128/A128/0.15*0.25</f>
        <v>0.4999432218390133</v>
      </c>
      <c r="I128" s="297"/>
      <c r="J128" s="297"/>
      <c r="K128" s="297"/>
      <c r="L128" s="297"/>
      <c r="M128" s="297"/>
      <c r="N128" s="297"/>
      <c r="O128" s="297"/>
      <c r="P128" s="297"/>
      <c r="Q128" s="297"/>
      <c r="R128" s="297"/>
      <c r="S128" s="297"/>
      <c r="T128" s="297"/>
    </row>
    <row r="129" spans="1:20" ht="16.5" customHeight="1">
      <c r="A129" s="297">
        <v>2</v>
      </c>
      <c r="B129" s="297">
        <v>55</v>
      </c>
      <c r="C129" s="297">
        <v>1</v>
      </c>
      <c r="D129" s="1">
        <f t="shared" si="15"/>
        <v>0.54999999999999993</v>
      </c>
      <c r="E129" s="304">
        <f t="shared" si="16"/>
        <v>0.56688922597989755</v>
      </c>
      <c r="F129" s="297">
        <f t="shared" si="17"/>
        <v>0.61230000000000007</v>
      </c>
      <c r="G129" s="297">
        <f t="shared" si="18"/>
        <v>1.5</v>
      </c>
      <c r="H129" s="297">
        <f t="shared" si="19"/>
        <v>0.47240768831658131</v>
      </c>
      <c r="I129" s="297"/>
      <c r="J129" s="297"/>
      <c r="K129" s="297"/>
      <c r="L129" s="297"/>
      <c r="M129" s="297"/>
      <c r="N129" s="297"/>
      <c r="O129" s="297"/>
      <c r="P129" s="297"/>
      <c r="Q129" s="297"/>
      <c r="R129" s="297"/>
      <c r="S129" s="297"/>
      <c r="T129" s="297"/>
    </row>
    <row r="130" spans="1:20" ht="16.5" customHeight="1">
      <c r="A130" s="297">
        <v>3</v>
      </c>
      <c r="B130" s="297">
        <v>77</v>
      </c>
      <c r="C130" s="297">
        <v>1</v>
      </c>
      <c r="D130" s="1">
        <f t="shared" si="15"/>
        <v>0.76999999999999991</v>
      </c>
      <c r="E130" s="304">
        <f t="shared" si="16"/>
        <v>0.78328205940987994</v>
      </c>
      <c r="F130" s="297">
        <f t="shared" si="17"/>
        <v>0.91844999999999999</v>
      </c>
      <c r="G130" s="297">
        <f t="shared" si="18"/>
        <v>1.5</v>
      </c>
      <c r="H130" s="297">
        <f t="shared" si="19"/>
        <v>0.43515669967215559</v>
      </c>
      <c r="I130" s="297"/>
      <c r="J130" s="297"/>
      <c r="K130" s="297"/>
      <c r="L130" s="297"/>
      <c r="M130" s="297"/>
      <c r="N130" s="297"/>
      <c r="O130" s="297"/>
      <c r="P130" s="297"/>
      <c r="Q130" s="297"/>
      <c r="R130" s="297"/>
      <c r="S130" s="297"/>
      <c r="T130" s="297"/>
    </row>
    <row r="131" spans="1:20" ht="16.5" customHeight="1">
      <c r="A131" s="297">
        <v>4</v>
      </c>
      <c r="B131" s="297">
        <v>93</v>
      </c>
      <c r="C131" s="297">
        <v>1</v>
      </c>
      <c r="D131" s="1">
        <f t="shared" si="15"/>
        <v>0.92999999999999994</v>
      </c>
      <c r="E131" s="304">
        <f t="shared" si="16"/>
        <v>0.94861596313332164</v>
      </c>
      <c r="F131" s="297">
        <f t="shared" si="17"/>
        <v>1.2246000000000001</v>
      </c>
      <c r="G131" s="297">
        <f t="shared" si="18"/>
        <v>1.5</v>
      </c>
      <c r="H131" s="297">
        <f t="shared" si="19"/>
        <v>0.39525665130555071</v>
      </c>
      <c r="I131" s="297"/>
      <c r="J131" s="297"/>
      <c r="K131" s="297"/>
      <c r="L131" s="297"/>
      <c r="M131" s="297"/>
      <c r="N131" s="297"/>
      <c r="O131" s="297"/>
      <c r="P131" s="297"/>
      <c r="Q131" s="297"/>
      <c r="R131" s="297"/>
      <c r="S131" s="297"/>
      <c r="T131" s="297"/>
    </row>
    <row r="132" spans="1:20" ht="16.5" customHeight="1">
      <c r="A132" s="297">
        <v>5</v>
      </c>
      <c r="B132" s="297">
        <v>106</v>
      </c>
      <c r="C132" s="297">
        <v>1</v>
      </c>
      <c r="D132" s="1">
        <f t="shared" si="15"/>
        <v>1.0599999999999998</v>
      </c>
      <c r="E132" s="304">
        <f t="shared" si="16"/>
        <v>1.071366491000511</v>
      </c>
      <c r="F132" s="297">
        <f t="shared" si="17"/>
        <v>1.5307500000000001</v>
      </c>
      <c r="G132" s="297">
        <f t="shared" si="18"/>
        <v>1.5</v>
      </c>
      <c r="H132" s="297">
        <f t="shared" si="19"/>
        <v>0.35712216366683697</v>
      </c>
      <c r="I132" s="297"/>
      <c r="J132" s="297"/>
      <c r="K132" s="297"/>
      <c r="L132" s="297"/>
      <c r="M132" s="297"/>
      <c r="N132" s="297"/>
      <c r="O132" s="297"/>
      <c r="P132" s="297"/>
      <c r="Q132" s="297"/>
      <c r="R132" s="297"/>
      <c r="S132" s="297"/>
      <c r="T132" s="297"/>
    </row>
    <row r="133" spans="1:20" ht="16.5" customHeight="1">
      <c r="A133" s="297">
        <v>7</v>
      </c>
      <c r="B133" s="297">
        <v>120</v>
      </c>
      <c r="C133" s="297">
        <v>1</v>
      </c>
      <c r="D133" s="1">
        <f t="shared" si="15"/>
        <v>1.2</v>
      </c>
      <c r="E133" s="304">
        <f t="shared" si="16"/>
        <v>1.2288842480818214</v>
      </c>
      <c r="F133" s="297">
        <f t="shared" si="17"/>
        <v>2.1430499999999997</v>
      </c>
      <c r="G133" s="297">
        <f t="shared" si="18"/>
        <v>1.5</v>
      </c>
      <c r="H133" s="297">
        <f t="shared" si="19"/>
        <v>0.29259148763852894</v>
      </c>
      <c r="I133" s="297"/>
      <c r="J133" s="297"/>
      <c r="K133" s="297"/>
      <c r="L133" s="297"/>
      <c r="M133" s="297"/>
      <c r="N133" s="297"/>
      <c r="O133" s="297"/>
      <c r="P133" s="297"/>
      <c r="Q133" s="297"/>
      <c r="R133" s="297"/>
      <c r="S133" s="297"/>
      <c r="T133" s="297"/>
    </row>
    <row r="134" spans="1:20" ht="16.5" customHeight="1">
      <c r="A134" s="297">
        <v>10</v>
      </c>
      <c r="B134" s="297">
        <v>133</v>
      </c>
      <c r="C134" s="297">
        <v>1</v>
      </c>
      <c r="D134" s="1">
        <f t="shared" si="15"/>
        <v>1.33</v>
      </c>
      <c r="E134" s="304">
        <f t="shared" si="16"/>
        <v>1.3470089213125507</v>
      </c>
      <c r="F134" s="297">
        <f t="shared" si="17"/>
        <v>3.0615000000000001</v>
      </c>
      <c r="G134" s="297">
        <f t="shared" si="18"/>
        <v>1.5</v>
      </c>
      <c r="H134" s="297">
        <f t="shared" si="19"/>
        <v>0.22450148688542515</v>
      </c>
      <c r="I134" s="297"/>
      <c r="J134" s="297"/>
      <c r="K134" s="297"/>
      <c r="L134" s="297"/>
      <c r="M134" s="297"/>
      <c r="N134" s="297"/>
      <c r="O134" s="297"/>
      <c r="P134" s="297"/>
      <c r="Q134" s="297"/>
      <c r="R134" s="297"/>
      <c r="S134" s="297"/>
      <c r="T134" s="297"/>
    </row>
    <row r="135" spans="1:20" ht="16.5" customHeight="1">
      <c r="A135" s="297">
        <v>17</v>
      </c>
      <c r="B135" s="297">
        <v>150</v>
      </c>
      <c r="C135" s="297">
        <v>1</v>
      </c>
      <c r="D135" s="1">
        <f t="shared" si="15"/>
        <v>1.4999999999999998</v>
      </c>
      <c r="E135" s="304">
        <f t="shared" si="16"/>
        <v>1.4413321432664148</v>
      </c>
      <c r="F135" s="297">
        <f t="shared" si="17"/>
        <v>5.2045499999999993</v>
      </c>
      <c r="G135" s="297">
        <f t="shared" si="18"/>
        <v>1.5</v>
      </c>
      <c r="H135" s="297">
        <f t="shared" si="19"/>
        <v>0.14130707286925637</v>
      </c>
      <c r="I135" s="297"/>
      <c r="J135" s="297"/>
      <c r="K135" s="297"/>
      <c r="M135" s="297"/>
      <c r="N135" s="297"/>
      <c r="O135" s="297"/>
      <c r="P135" s="297"/>
      <c r="Q135" s="297"/>
      <c r="R135" s="297"/>
      <c r="S135" s="297"/>
      <c r="T135" s="297"/>
    </row>
    <row r="136" spans="1:20" ht="16.5" customHeight="1">
      <c r="A136" s="297"/>
      <c r="B136" s="297"/>
      <c r="C136" s="297"/>
      <c r="D136" s="1"/>
      <c r="E136" s="297"/>
      <c r="F136" s="297"/>
      <c r="G136" s="297"/>
      <c r="H136" s="297"/>
      <c r="I136" s="297"/>
      <c r="J136" s="297"/>
      <c r="K136" s="297"/>
      <c r="M136" s="297"/>
      <c r="N136" s="297"/>
      <c r="O136" s="297"/>
      <c r="P136" s="297"/>
      <c r="Q136" s="297"/>
      <c r="R136" s="297"/>
      <c r="S136" s="297"/>
      <c r="T136" s="297"/>
    </row>
    <row r="137" spans="1:20" ht="16.5" customHeight="1">
      <c r="A137" s="297">
        <v>1</v>
      </c>
      <c r="B137" s="297">
        <v>220</v>
      </c>
      <c r="C137" s="297">
        <v>60</v>
      </c>
      <c r="D137" s="1">
        <f t="shared" ref="D137:D144" si="20">B137/1000/SQRT(C137/100)</f>
        <v>0.28401877872187725</v>
      </c>
      <c r="E137" s="297"/>
      <c r="F137" s="297"/>
      <c r="G137" s="297">
        <f>G127*20</f>
        <v>30</v>
      </c>
      <c r="H137" s="297" t="s">
        <v>412</v>
      </c>
      <c r="I137" s="297"/>
      <c r="J137" s="297"/>
      <c r="K137" s="297"/>
      <c r="M137" s="297"/>
      <c r="N137" s="297"/>
      <c r="O137" s="297"/>
      <c r="P137" s="297"/>
      <c r="Q137" s="297"/>
      <c r="R137" s="297"/>
      <c r="S137" s="297"/>
      <c r="T137" s="297"/>
    </row>
    <row r="138" spans="1:20" ht="16.5" customHeight="1">
      <c r="A138" s="297">
        <v>2</v>
      </c>
      <c r="B138" s="297">
        <v>410</v>
      </c>
      <c r="C138" s="297">
        <v>60</v>
      </c>
      <c r="D138" s="1">
        <f t="shared" si="20"/>
        <v>0.52930772398168024</v>
      </c>
      <c r="E138" s="297"/>
      <c r="F138" s="297"/>
      <c r="G138" s="297">
        <f>SQRT(G137*4/3.14)</f>
        <v>6.1819544247393265</v>
      </c>
      <c r="H138" s="297" t="s">
        <v>415</v>
      </c>
      <c r="I138" s="297"/>
      <c r="J138" s="297"/>
      <c r="K138" s="297"/>
      <c r="M138" s="297"/>
      <c r="N138" s="297"/>
      <c r="O138" s="297"/>
      <c r="P138" s="297"/>
      <c r="Q138" s="297"/>
      <c r="R138" s="297"/>
      <c r="S138" s="297"/>
      <c r="T138" s="297"/>
    </row>
    <row r="139" spans="1:20" ht="16.5" customHeight="1">
      <c r="A139" s="297">
        <v>3</v>
      </c>
      <c r="B139" s="297">
        <v>580</v>
      </c>
      <c r="C139" s="297">
        <v>60</v>
      </c>
      <c r="D139" s="1">
        <f t="shared" si="20"/>
        <v>0.74877678026676719</v>
      </c>
      <c r="E139" s="297"/>
      <c r="F139" s="297"/>
      <c r="G139" s="297"/>
      <c r="H139" s="297"/>
      <c r="I139" s="297"/>
      <c r="J139" s="297"/>
      <c r="K139" s="297"/>
      <c r="M139" s="297"/>
      <c r="N139" s="297"/>
      <c r="O139" s="297"/>
      <c r="P139" s="297"/>
      <c r="Q139" s="297"/>
      <c r="R139" s="297"/>
      <c r="S139" s="297"/>
      <c r="T139" s="297"/>
    </row>
    <row r="140" spans="1:20" ht="16.5" customHeight="1">
      <c r="A140" s="297">
        <v>4</v>
      </c>
      <c r="B140" s="297">
        <v>700</v>
      </c>
      <c r="C140" s="297">
        <v>60</v>
      </c>
      <c r="D140" s="1">
        <f t="shared" si="20"/>
        <v>0.9036961141150639</v>
      </c>
      <c r="E140" s="297"/>
      <c r="F140" s="297"/>
      <c r="G140" s="297"/>
      <c r="H140" s="297"/>
      <c r="I140" s="297"/>
      <c r="J140" s="297"/>
      <c r="K140" s="297"/>
      <c r="M140" s="297"/>
      <c r="N140" s="297"/>
      <c r="O140" s="297"/>
      <c r="P140" s="297"/>
      <c r="Q140" s="297"/>
      <c r="R140" s="297"/>
      <c r="S140" s="297"/>
      <c r="T140" s="297"/>
    </row>
    <row r="141" spans="1:20" ht="16.5" customHeight="1">
      <c r="A141" s="297">
        <v>5</v>
      </c>
      <c r="B141" s="297">
        <v>790</v>
      </c>
      <c r="C141" s="297">
        <v>60</v>
      </c>
      <c r="D141" s="1">
        <f t="shared" si="20"/>
        <v>1.0198856145012865</v>
      </c>
      <c r="E141" s="297"/>
      <c r="F141" s="297"/>
      <c r="G141" s="297"/>
      <c r="H141" s="297"/>
      <c r="I141" s="297"/>
      <c r="J141" s="297"/>
      <c r="K141" s="297"/>
      <c r="M141" s="297"/>
      <c r="N141" s="297"/>
      <c r="O141" s="297"/>
      <c r="P141" s="297"/>
      <c r="Q141" s="297"/>
      <c r="R141" s="297"/>
      <c r="S141" s="297"/>
      <c r="T141" s="297"/>
    </row>
    <row r="142" spans="1:20" ht="16.5" customHeight="1">
      <c r="A142" s="297">
        <v>7</v>
      </c>
      <c r="B142" s="297">
        <v>900</v>
      </c>
      <c r="C142" s="297">
        <v>60</v>
      </c>
      <c r="D142" s="1">
        <f t="shared" si="20"/>
        <v>1.1618950038622251</v>
      </c>
      <c r="E142" s="297"/>
      <c r="F142" s="297"/>
      <c r="G142" s="297"/>
      <c r="H142" s="297"/>
      <c r="I142" s="297"/>
      <c r="J142" s="297"/>
      <c r="K142" s="297"/>
      <c r="M142" s="297"/>
      <c r="N142" s="297"/>
      <c r="O142" s="297"/>
      <c r="P142" s="297"/>
      <c r="Q142" s="297"/>
      <c r="R142" s="297"/>
      <c r="S142" s="297"/>
      <c r="T142" s="297"/>
    </row>
    <row r="143" spans="1:20" ht="16.5" customHeight="1">
      <c r="A143" s="297">
        <v>10</v>
      </c>
      <c r="B143" s="297">
        <v>1010</v>
      </c>
      <c r="C143" s="297">
        <v>60</v>
      </c>
      <c r="D143" s="1">
        <f t="shared" si="20"/>
        <v>1.3039043932231638</v>
      </c>
      <c r="E143" s="297"/>
      <c r="F143" s="297"/>
      <c r="G143" s="297"/>
      <c r="H143" s="297"/>
      <c r="I143" s="297"/>
      <c r="J143" s="297"/>
      <c r="K143" s="297"/>
      <c r="M143" s="297"/>
      <c r="N143" s="297"/>
      <c r="O143" s="297"/>
      <c r="P143" s="297"/>
      <c r="Q143" s="297"/>
      <c r="R143" s="297"/>
      <c r="S143" s="297"/>
      <c r="T143" s="297"/>
    </row>
    <row r="144" spans="1:20" ht="16.5" customHeight="1">
      <c r="A144" s="297">
        <v>17</v>
      </c>
      <c r="B144" s="297">
        <v>1000</v>
      </c>
      <c r="C144" s="297">
        <v>46</v>
      </c>
      <c r="D144" s="1">
        <f t="shared" si="20"/>
        <v>1.4744195615489712</v>
      </c>
      <c r="E144" s="297"/>
      <c r="F144" s="297"/>
      <c r="G144" s="297"/>
      <c r="H144" s="297"/>
      <c r="I144" s="297"/>
      <c r="J144" s="297"/>
      <c r="K144" s="297"/>
      <c r="M144" s="297"/>
      <c r="N144" s="297"/>
      <c r="O144" s="297"/>
      <c r="P144" s="297"/>
      <c r="Q144" s="297"/>
      <c r="R144" s="297"/>
      <c r="S144" s="297"/>
      <c r="T144" s="297"/>
    </row>
    <row r="145" spans="1:20" ht="16.5" customHeight="1">
      <c r="A145" s="297"/>
      <c r="B145" s="297"/>
      <c r="C145" s="297"/>
      <c r="D145" s="297"/>
      <c r="E145" s="297"/>
      <c r="F145" s="297"/>
      <c r="G145" s="297"/>
      <c r="H145" s="297"/>
      <c r="I145" s="297"/>
      <c r="J145" s="297"/>
      <c r="K145" s="297"/>
      <c r="M145" s="297"/>
      <c r="N145" s="297"/>
      <c r="O145" s="297"/>
      <c r="P145" s="297"/>
      <c r="Q145" s="297"/>
      <c r="R145" s="297"/>
      <c r="S145" s="297"/>
      <c r="T145" s="297"/>
    </row>
    <row r="146" spans="1:20" ht="16.5" customHeight="1">
      <c r="A146" s="297"/>
      <c r="B146" s="297"/>
      <c r="C146" s="297"/>
      <c r="D146" s="297"/>
      <c r="E146" s="297"/>
      <c r="F146" s="297"/>
      <c r="G146" s="297"/>
      <c r="H146" s="297"/>
      <c r="I146" s="297"/>
      <c r="J146" s="297"/>
      <c r="K146" s="297"/>
      <c r="M146" s="297"/>
      <c r="N146" s="297"/>
      <c r="O146" s="297"/>
      <c r="P146" s="297"/>
      <c r="Q146" s="297"/>
      <c r="R146" s="297"/>
      <c r="S146" s="297"/>
      <c r="T146" s="297"/>
    </row>
    <row r="147" spans="1:20" ht="16.5" customHeight="1">
      <c r="A147" s="297"/>
      <c r="B147" s="297"/>
      <c r="C147" s="297"/>
      <c r="D147" s="297"/>
      <c r="E147" s="297"/>
      <c r="F147" s="297"/>
      <c r="G147" s="297"/>
      <c r="H147" s="297"/>
      <c r="I147" s="297"/>
      <c r="J147" s="297"/>
      <c r="K147" s="297"/>
      <c r="Q147" s="297"/>
      <c r="R147" s="297"/>
      <c r="S147" s="297"/>
      <c r="T147" s="297"/>
    </row>
    <row r="148" spans="1:20" ht="16.5" customHeight="1">
      <c r="A148" s="297"/>
      <c r="B148" s="297"/>
      <c r="C148" s="297"/>
      <c r="D148" s="297"/>
      <c r="E148" s="297"/>
      <c r="F148" s="297"/>
      <c r="G148" s="297"/>
      <c r="H148" s="297"/>
      <c r="I148" s="297"/>
      <c r="J148" s="297"/>
      <c r="K148" s="297"/>
      <c r="L148" s="297"/>
      <c r="M148" s="297"/>
      <c r="N148" s="297"/>
      <c r="O148" s="297"/>
      <c r="P148" s="297"/>
      <c r="Q148" s="297"/>
      <c r="R148" s="297"/>
      <c r="S148" s="297"/>
      <c r="T148" s="297"/>
    </row>
    <row r="149" spans="1:20" ht="16.5" customHeight="1">
      <c r="A149" s="297"/>
      <c r="B149" s="297"/>
      <c r="C149" s="297"/>
      <c r="D149" s="297"/>
      <c r="E149" s="297"/>
      <c r="F149" s="297"/>
      <c r="G149" s="297"/>
      <c r="H149" s="297"/>
      <c r="I149" s="297"/>
      <c r="J149" s="297"/>
      <c r="K149" s="297"/>
      <c r="L149" s="297"/>
      <c r="M149" s="297"/>
      <c r="N149" s="297"/>
      <c r="O149" s="297"/>
      <c r="P149" s="297"/>
      <c r="Q149" s="297"/>
      <c r="R149" s="297"/>
      <c r="S149" s="297"/>
      <c r="T149" s="297"/>
    </row>
    <row r="150" spans="1:20" ht="16.5" customHeight="1">
      <c r="A150" s="297"/>
      <c r="B150" s="297"/>
      <c r="C150" s="297"/>
      <c r="D150" s="297"/>
      <c r="E150" s="297"/>
      <c r="F150" s="297"/>
      <c r="G150" s="297"/>
      <c r="H150" s="297"/>
      <c r="I150" s="297"/>
      <c r="J150" s="297"/>
      <c r="K150" s="297"/>
      <c r="L150" s="297"/>
      <c r="M150" s="297"/>
      <c r="N150" s="297"/>
      <c r="O150" s="297"/>
      <c r="P150" s="297"/>
      <c r="Q150" s="297"/>
      <c r="R150" s="297"/>
      <c r="S150" s="297"/>
      <c r="T150" s="297"/>
    </row>
    <row r="151" spans="1:20" ht="16.5" customHeight="1">
      <c r="A151" s="297"/>
      <c r="B151" s="297" t="s">
        <v>1171</v>
      </c>
      <c r="C151" s="297"/>
      <c r="D151" s="297"/>
      <c r="E151" s="297"/>
      <c r="F151" s="297"/>
      <c r="G151" s="297"/>
      <c r="H151" s="297"/>
      <c r="I151" s="297"/>
      <c r="J151" s="297"/>
      <c r="K151" s="297"/>
      <c r="L151" s="297"/>
      <c r="M151" s="297"/>
      <c r="N151" s="297"/>
      <c r="O151" s="297"/>
      <c r="P151" s="297"/>
      <c r="Q151" s="297"/>
      <c r="R151" s="297"/>
      <c r="S151" s="297"/>
      <c r="T151" s="297"/>
    </row>
    <row r="152" spans="1:20" ht="16.5" customHeight="1">
      <c r="A152" s="297">
        <v>11.5</v>
      </c>
      <c r="B152" s="297" t="s">
        <v>1170</v>
      </c>
      <c r="C152" s="297"/>
      <c r="D152" s="297"/>
      <c r="E152" s="297" t="s">
        <v>1169</v>
      </c>
      <c r="F152" s="297"/>
      <c r="G152" s="297"/>
      <c r="H152" s="297"/>
      <c r="I152" s="297"/>
      <c r="J152" s="297"/>
      <c r="K152" s="297"/>
      <c r="L152" s="297"/>
      <c r="M152" s="297"/>
      <c r="N152" s="297"/>
      <c r="O152" s="297"/>
      <c r="P152" s="297"/>
      <c r="Q152" s="297"/>
      <c r="R152" s="297"/>
      <c r="S152" s="297"/>
      <c r="T152" s="297"/>
    </row>
    <row r="153" spans="1:20" ht="16.5" customHeight="1">
      <c r="A153" s="297">
        <v>13.5</v>
      </c>
      <c r="B153" s="297" t="s">
        <v>1168</v>
      </c>
      <c r="C153" s="297"/>
      <c r="D153" s="297"/>
      <c r="E153" s="297"/>
      <c r="F153" s="297"/>
      <c r="G153" s="297"/>
      <c r="H153" s="297"/>
      <c r="I153" s="297"/>
      <c r="J153" s="297"/>
      <c r="K153" s="297"/>
      <c r="L153" s="297"/>
      <c r="M153" s="297"/>
      <c r="N153" s="297"/>
      <c r="O153" s="297"/>
      <c r="P153" s="297"/>
      <c r="Q153" s="297"/>
      <c r="R153" s="297"/>
      <c r="S153" s="297"/>
      <c r="T153" s="297"/>
    </row>
    <row r="154" spans="1:20" ht="16.5" customHeight="1">
      <c r="A154" s="297"/>
      <c r="B154" s="297" t="s">
        <v>1167</v>
      </c>
      <c r="C154" s="297"/>
      <c r="D154" s="297"/>
      <c r="E154" s="297"/>
      <c r="F154" s="297">
        <f>1.41*F155</f>
        <v>13.395</v>
      </c>
      <c r="G154" s="297"/>
      <c r="H154" s="297"/>
      <c r="I154" s="297"/>
      <c r="J154" s="297"/>
      <c r="K154" s="297"/>
      <c r="L154" s="297"/>
      <c r="M154" s="297"/>
      <c r="N154" s="297"/>
      <c r="O154" s="297"/>
      <c r="P154" s="297"/>
      <c r="Q154" s="297"/>
      <c r="R154" s="297"/>
      <c r="S154" s="297"/>
      <c r="T154" s="297"/>
    </row>
    <row r="155" spans="1:20" ht="16.5" customHeight="1">
      <c r="A155" s="297"/>
      <c r="B155" s="297" t="s">
        <v>1166</v>
      </c>
      <c r="C155" s="297"/>
      <c r="D155" s="297"/>
      <c r="E155" s="297"/>
      <c r="F155" s="154">
        <v>9.5</v>
      </c>
      <c r="G155" s="297" t="s">
        <v>415</v>
      </c>
      <c r="H155" s="297"/>
      <c r="I155" s="297"/>
      <c r="J155" s="297"/>
      <c r="K155" s="297"/>
      <c r="L155" s="297"/>
      <c r="M155" s="297"/>
      <c r="N155" s="297"/>
      <c r="O155" s="297"/>
      <c r="P155" s="297"/>
      <c r="Q155" s="297"/>
      <c r="R155" s="297"/>
      <c r="S155" s="297"/>
      <c r="T155" s="297"/>
    </row>
    <row r="156" spans="1:20" ht="16.5" customHeight="1">
      <c r="A156" s="297"/>
      <c r="B156" s="297"/>
      <c r="C156" s="297"/>
      <c r="D156" s="297"/>
      <c r="E156" s="297"/>
      <c r="F156" s="154">
        <v>1.5</v>
      </c>
      <c r="G156" s="297" t="s">
        <v>1165</v>
      </c>
      <c r="H156" s="297"/>
      <c r="I156" s="297"/>
      <c r="J156" s="297"/>
      <c r="K156" s="297"/>
      <c r="L156" s="297"/>
      <c r="M156" s="297"/>
      <c r="N156" s="297"/>
      <c r="O156" s="297"/>
      <c r="P156" s="297"/>
      <c r="Q156" s="297"/>
      <c r="R156" s="297"/>
      <c r="S156" s="297"/>
      <c r="T156" s="297"/>
    </row>
    <row r="157" spans="1:20" ht="16.5" customHeight="1">
      <c r="A157" s="297"/>
      <c r="B157" s="297" t="s">
        <v>2</v>
      </c>
      <c r="C157" s="297" t="s">
        <v>1</v>
      </c>
      <c r="D157" s="297" t="s">
        <v>1176</v>
      </c>
      <c r="E157" s="297" t="s">
        <v>246</v>
      </c>
      <c r="F157" s="297" t="s">
        <v>246</v>
      </c>
      <c r="G157" s="297">
        <v>1.05</v>
      </c>
      <c r="H157" s="297" t="s">
        <v>1163</v>
      </c>
      <c r="I157" s="297"/>
      <c r="J157" s="297"/>
      <c r="K157" s="297"/>
      <c r="L157" s="297"/>
      <c r="M157" s="297"/>
      <c r="N157" s="297"/>
      <c r="O157" s="297"/>
      <c r="P157" s="297"/>
      <c r="Q157" s="297"/>
      <c r="R157" s="297"/>
      <c r="S157" s="297"/>
      <c r="T157" s="297"/>
    </row>
    <row r="158" spans="1:20" ht="16.5" customHeight="1">
      <c r="A158" s="297">
        <v>1</v>
      </c>
      <c r="B158" s="297"/>
      <c r="C158" s="297"/>
      <c r="D158" s="1">
        <v>0.2</v>
      </c>
      <c r="E158" s="304">
        <f t="shared" ref="E158:E165" si="21">G158*F158/SQRT(G158^2+F158^2)</f>
        <v>0.21881313402583052</v>
      </c>
      <c r="F158" s="297">
        <f t="shared" ref="F158:F165" si="22">A158/10*F$156*F$155*3.14/20</f>
        <v>0.22372500000000003</v>
      </c>
      <c r="G158" s="297">
        <f t="shared" ref="G158:G165" si="23">G157</f>
        <v>1.05</v>
      </c>
      <c r="H158" s="297">
        <f t="shared" ref="H158:H165" si="24">E158/A158/0.15*0.25</f>
        <v>0.36468855670971756</v>
      </c>
      <c r="I158" s="297"/>
      <c r="J158" s="297"/>
      <c r="K158" s="297"/>
      <c r="L158" s="297"/>
      <c r="M158" s="297"/>
      <c r="N158" s="297"/>
      <c r="O158" s="297"/>
      <c r="P158" s="297"/>
      <c r="Q158" s="297"/>
      <c r="R158" s="297"/>
      <c r="S158" s="297"/>
      <c r="T158" s="297"/>
    </row>
    <row r="159" spans="1:20" ht="16.5" customHeight="1">
      <c r="A159" s="297">
        <v>2</v>
      </c>
      <c r="B159" s="297"/>
      <c r="C159" s="297"/>
      <c r="D159" s="1">
        <v>0.4</v>
      </c>
      <c r="E159" s="304">
        <f t="shared" si="21"/>
        <v>0.41163252926286709</v>
      </c>
      <c r="F159" s="297">
        <f t="shared" si="22"/>
        <v>0.44745000000000007</v>
      </c>
      <c r="G159" s="297">
        <f t="shared" si="23"/>
        <v>1.05</v>
      </c>
      <c r="H159" s="297">
        <f t="shared" si="24"/>
        <v>0.34302710771905592</v>
      </c>
      <c r="I159" s="297"/>
      <c r="J159" s="297"/>
      <c r="K159" s="297"/>
      <c r="L159" s="297"/>
      <c r="M159" s="297"/>
      <c r="N159" s="297"/>
      <c r="O159" s="297"/>
      <c r="P159" s="297"/>
      <c r="Q159" s="297"/>
      <c r="R159" s="297"/>
      <c r="S159" s="297"/>
      <c r="T159" s="297"/>
    </row>
    <row r="160" spans="1:20" ht="16.5" customHeight="1">
      <c r="A160" s="297">
        <v>3</v>
      </c>
      <c r="B160" s="297"/>
      <c r="C160" s="297"/>
      <c r="D160" s="1">
        <v>0.56999999999999995</v>
      </c>
      <c r="E160" s="304">
        <f t="shared" si="21"/>
        <v>0.56551315919165812</v>
      </c>
      <c r="F160" s="297">
        <f t="shared" si="22"/>
        <v>0.67117499999999997</v>
      </c>
      <c r="G160" s="297">
        <f t="shared" si="23"/>
        <v>1.05</v>
      </c>
      <c r="H160" s="297">
        <f t="shared" si="24"/>
        <v>0.31417397732869895</v>
      </c>
      <c r="I160" s="297"/>
      <c r="J160" s="297"/>
      <c r="K160" s="297"/>
      <c r="L160" s="297"/>
      <c r="M160" s="297"/>
      <c r="N160" s="297"/>
      <c r="O160" s="297"/>
      <c r="P160" s="297"/>
      <c r="Q160" s="297"/>
      <c r="R160" s="297"/>
      <c r="S160" s="297"/>
      <c r="T160" s="297"/>
    </row>
    <row r="161" spans="1:20" ht="16.5" customHeight="1">
      <c r="A161" s="297">
        <v>4</v>
      </c>
      <c r="B161" s="297"/>
      <c r="C161" s="297"/>
      <c r="D161" s="1">
        <v>0.68</v>
      </c>
      <c r="E161" s="304">
        <f t="shared" si="21"/>
        <v>0.68109067478289198</v>
      </c>
      <c r="F161" s="297">
        <f t="shared" si="22"/>
        <v>0.89490000000000014</v>
      </c>
      <c r="G161" s="297">
        <f t="shared" si="23"/>
        <v>1.05</v>
      </c>
      <c r="H161" s="297">
        <f t="shared" si="24"/>
        <v>0.28378778115953834</v>
      </c>
      <c r="I161" s="297"/>
      <c r="J161" s="297"/>
      <c r="K161" s="297"/>
      <c r="L161" s="297"/>
      <c r="M161" s="297"/>
      <c r="N161" s="297"/>
      <c r="O161" s="297"/>
      <c r="P161" s="297"/>
      <c r="Q161" s="297"/>
      <c r="R161" s="297"/>
      <c r="S161" s="297"/>
      <c r="T161" s="297"/>
    </row>
    <row r="162" spans="1:20" ht="16.5" customHeight="1">
      <c r="A162" s="297">
        <v>5</v>
      </c>
      <c r="B162" s="297"/>
      <c r="C162" s="297"/>
      <c r="D162" s="1">
        <v>0.76</v>
      </c>
      <c r="E162" s="304">
        <f t="shared" si="21"/>
        <v>0.76557372794056133</v>
      </c>
      <c r="F162" s="297">
        <f t="shared" si="22"/>
        <v>1.1186250000000002</v>
      </c>
      <c r="G162" s="297">
        <f t="shared" si="23"/>
        <v>1.05</v>
      </c>
      <c r="H162" s="297">
        <f t="shared" si="24"/>
        <v>0.25519124264685383</v>
      </c>
      <c r="I162" s="297"/>
      <c r="J162" s="297"/>
      <c r="K162" s="297"/>
      <c r="L162" s="297"/>
      <c r="M162" s="297"/>
      <c r="N162" s="297"/>
      <c r="O162" s="297"/>
      <c r="P162" s="297"/>
      <c r="Q162" s="297"/>
      <c r="R162" s="297"/>
      <c r="S162" s="297"/>
      <c r="T162" s="297"/>
    </row>
    <row r="163" spans="1:20" ht="16.5" customHeight="1">
      <c r="A163" s="297">
        <v>7</v>
      </c>
      <c r="B163" s="297"/>
      <c r="C163" s="297"/>
      <c r="D163" s="1">
        <v>0.86</v>
      </c>
      <c r="E163" s="304">
        <f t="shared" si="21"/>
        <v>0.87212051115702571</v>
      </c>
      <c r="F163" s="297">
        <f t="shared" si="22"/>
        <v>1.5660749999999997</v>
      </c>
      <c r="G163" s="297">
        <f t="shared" si="23"/>
        <v>1.05</v>
      </c>
      <c r="H163" s="297">
        <f t="shared" si="24"/>
        <v>0.2076477407516728</v>
      </c>
      <c r="I163" s="297"/>
      <c r="J163" s="297"/>
      <c r="K163" s="297"/>
      <c r="L163" s="297"/>
      <c r="M163" s="297"/>
      <c r="N163" s="297"/>
      <c r="O163" s="297"/>
      <c r="P163" s="297"/>
      <c r="Q163" s="297"/>
      <c r="R163" s="297"/>
      <c r="S163" s="297"/>
      <c r="T163" s="297"/>
    </row>
    <row r="164" spans="1:20" ht="16.5" customHeight="1">
      <c r="A164" s="297">
        <v>10</v>
      </c>
      <c r="B164" s="297"/>
      <c r="C164" s="297"/>
      <c r="D164" s="1">
        <v>0.94</v>
      </c>
      <c r="E164" s="304">
        <f t="shared" si="21"/>
        <v>0.95052130192393824</v>
      </c>
      <c r="F164" s="297">
        <f t="shared" si="22"/>
        <v>2.2372500000000004</v>
      </c>
      <c r="G164" s="297">
        <f t="shared" si="23"/>
        <v>1.05</v>
      </c>
      <c r="H164" s="297">
        <f t="shared" si="24"/>
        <v>0.15842021698732303</v>
      </c>
      <c r="I164" s="297"/>
      <c r="J164" s="297"/>
      <c r="K164" s="297"/>
      <c r="L164" s="297"/>
      <c r="M164" s="297"/>
      <c r="N164" s="297"/>
      <c r="O164" s="297"/>
      <c r="P164" s="297"/>
      <c r="Q164" s="297"/>
      <c r="R164" s="297"/>
      <c r="S164" s="297"/>
      <c r="T164" s="297"/>
    </row>
    <row r="165" spans="1:20" ht="16.5" customHeight="1">
      <c r="A165" s="297">
        <v>17</v>
      </c>
      <c r="B165" s="297"/>
      <c r="C165" s="297"/>
      <c r="D165" s="1">
        <v>1.1000000000000001</v>
      </c>
      <c r="E165" s="304">
        <f t="shared" si="21"/>
        <v>1.0121371825039212</v>
      </c>
      <c r="F165" s="297">
        <f t="shared" si="22"/>
        <v>3.8033249999999996</v>
      </c>
      <c r="G165" s="297">
        <f t="shared" si="23"/>
        <v>1.05</v>
      </c>
      <c r="H165" s="297">
        <f t="shared" si="24"/>
        <v>9.9229135539600125E-2</v>
      </c>
      <c r="I165" s="297"/>
      <c r="J165" s="297"/>
      <c r="K165" s="297"/>
      <c r="L165" s="297"/>
      <c r="M165" s="297"/>
      <c r="N165" s="297"/>
      <c r="O165" s="297"/>
      <c r="P165" s="297"/>
      <c r="Q165" s="297"/>
      <c r="R165" s="297"/>
      <c r="S165" s="297"/>
      <c r="T165" s="297"/>
    </row>
    <row r="166" spans="1:20" ht="16.5" customHeight="1">
      <c r="A166" s="297"/>
      <c r="B166" s="297"/>
      <c r="C166" s="297"/>
      <c r="D166" s="297"/>
      <c r="E166" s="297"/>
      <c r="F166" s="297"/>
      <c r="G166" s="297"/>
      <c r="H166" s="297"/>
      <c r="I166" s="297"/>
      <c r="J166" s="297"/>
      <c r="K166" s="297"/>
      <c r="L166" s="297"/>
      <c r="M166" s="297"/>
      <c r="N166" s="297"/>
      <c r="O166" s="297"/>
      <c r="P166" s="297"/>
      <c r="Q166" s="297"/>
      <c r="R166" s="297"/>
      <c r="S166" s="297"/>
      <c r="T166" s="297"/>
    </row>
    <row r="167" spans="1:20" ht="16.5" customHeight="1">
      <c r="A167" s="297"/>
      <c r="B167" s="297">
        <v>150</v>
      </c>
      <c r="C167" s="297">
        <v>1</v>
      </c>
      <c r="D167" s="1">
        <f>B167/1000/SQRT(C167/100)</f>
        <v>1.4999999999999998</v>
      </c>
      <c r="E167" s="297"/>
      <c r="F167" s="297"/>
      <c r="G167" s="297">
        <f>G157*20</f>
        <v>21</v>
      </c>
      <c r="H167" s="297" t="s">
        <v>412</v>
      </c>
      <c r="I167" s="297"/>
      <c r="J167" s="297"/>
      <c r="K167" s="297"/>
      <c r="L167" s="297"/>
      <c r="M167" s="297"/>
      <c r="N167" s="297"/>
      <c r="O167" s="297"/>
      <c r="P167" s="297"/>
      <c r="Q167" s="297"/>
      <c r="R167" s="297"/>
      <c r="S167" s="297"/>
      <c r="T167" s="297"/>
    </row>
    <row r="168" spans="1:20" ht="16.5" customHeight="1">
      <c r="A168" s="297"/>
      <c r="B168" s="297"/>
      <c r="C168" s="297"/>
      <c r="D168" s="297"/>
      <c r="E168" s="297"/>
      <c r="F168" s="297"/>
      <c r="G168" s="297">
        <f>SQRT(G167*4/3.14)</f>
        <v>5.1721941530348507</v>
      </c>
      <c r="H168" s="297" t="s">
        <v>415</v>
      </c>
      <c r="I168" s="297"/>
      <c r="J168" s="297"/>
      <c r="K168" s="297"/>
      <c r="L168" s="297"/>
      <c r="M168" s="297"/>
      <c r="N168" s="297"/>
      <c r="O168" s="297"/>
      <c r="P168" s="297"/>
      <c r="Q168" s="297"/>
      <c r="R168" s="297"/>
      <c r="S168" s="297"/>
      <c r="T168" s="297"/>
    </row>
    <row r="169" spans="1:20" ht="16.5" customHeight="1">
      <c r="A169" s="297"/>
      <c r="B169" s="297"/>
      <c r="C169" s="297"/>
      <c r="D169" s="297"/>
      <c r="E169" s="297"/>
      <c r="F169" s="297"/>
      <c r="G169" s="297"/>
      <c r="H169" s="297"/>
      <c r="I169" s="297"/>
      <c r="J169" s="297"/>
      <c r="K169" s="297"/>
      <c r="L169" s="297"/>
      <c r="M169" s="297"/>
      <c r="N169" s="297"/>
      <c r="O169" s="297"/>
      <c r="P169" s="297"/>
      <c r="Q169" s="297"/>
      <c r="R169" s="297"/>
      <c r="S169" s="297"/>
      <c r="T169" s="297"/>
    </row>
    <row r="170" spans="1:20" ht="16.5" customHeight="1">
      <c r="A170" s="316" t="s">
        <v>1356</v>
      </c>
      <c r="B170" s="297"/>
      <c r="C170" s="297"/>
      <c r="D170" s="297"/>
      <c r="E170" s="297"/>
      <c r="F170" s="297"/>
      <c r="G170" s="297"/>
      <c r="H170" s="297"/>
      <c r="I170" s="297"/>
      <c r="J170" s="297"/>
      <c r="K170" s="297"/>
      <c r="L170" s="297"/>
      <c r="M170" s="297"/>
      <c r="N170" s="297"/>
      <c r="O170" s="297"/>
      <c r="P170" s="297"/>
      <c r="Q170" s="297"/>
      <c r="R170" s="297"/>
      <c r="S170" s="297"/>
      <c r="T170" s="297"/>
    </row>
    <row r="171" spans="1:20" ht="16.5" customHeight="1">
      <c r="A171" s="86" t="s">
        <v>1355</v>
      </c>
      <c r="B171" s="297"/>
      <c r="C171" s="297"/>
      <c r="D171" s="297"/>
      <c r="E171" s="297"/>
      <c r="F171" s="297"/>
      <c r="G171" s="297"/>
      <c r="H171" s="297"/>
      <c r="I171" s="297"/>
      <c r="J171" s="297"/>
      <c r="K171" s="297"/>
      <c r="L171" s="297"/>
      <c r="M171" s="297"/>
      <c r="N171" s="297"/>
      <c r="O171" s="2" t="s">
        <v>171</v>
      </c>
      <c r="P171" s="1"/>
      <c r="Q171" s="1"/>
      <c r="R171" s="297"/>
      <c r="S171" s="297"/>
      <c r="T171" s="297"/>
    </row>
    <row r="172" spans="1:20" ht="16.5" customHeight="1" thickBot="1">
      <c r="A172" s="297" t="s">
        <v>1357</v>
      </c>
      <c r="D172" s="297" t="s">
        <v>1358</v>
      </c>
      <c r="O172" s="1" t="s">
        <v>172</v>
      </c>
      <c r="P172" s="8" t="s">
        <v>2</v>
      </c>
      <c r="Q172" s="9" t="s">
        <v>1</v>
      </c>
    </row>
    <row r="173" spans="1:20" ht="16.5" customHeight="1">
      <c r="A173" s="297">
        <v>0.1</v>
      </c>
      <c r="B173" s="297"/>
      <c r="C173" s="297"/>
      <c r="D173" s="297">
        <v>1</v>
      </c>
      <c r="E173" s="297">
        <v>2</v>
      </c>
      <c r="F173" s="297">
        <v>3</v>
      </c>
      <c r="G173" s="297">
        <v>4</v>
      </c>
      <c r="H173" s="297">
        <v>5</v>
      </c>
      <c r="I173" s="297">
        <v>6</v>
      </c>
      <c r="J173" s="297"/>
      <c r="K173" s="297"/>
      <c r="O173" s="1">
        <f>P173/1000/SQRT(Q173/100)</f>
        <v>1</v>
      </c>
      <c r="P173" s="3">
        <v>1000</v>
      </c>
      <c r="Q173" s="3">
        <v>100</v>
      </c>
    </row>
    <row r="174" spans="1:20" ht="16.5" customHeight="1">
      <c r="A174" s="297" t="s">
        <v>415</v>
      </c>
      <c r="B174" s="297">
        <f>C174</f>
        <v>16.5</v>
      </c>
      <c r="C174" s="154">
        <v>16.5</v>
      </c>
      <c r="D174" s="297">
        <v>1.2</v>
      </c>
      <c r="E174" s="297">
        <f>D174*2/3+G174/3</f>
        <v>1.5999999999999999</v>
      </c>
      <c r="F174" s="297">
        <f>D174/3+G174*2/3</f>
        <v>1.9999999999999998</v>
      </c>
      <c r="G174" s="297">
        <v>2.4</v>
      </c>
      <c r="H174" s="297">
        <f>G174/2+I174/2</f>
        <v>4.45</v>
      </c>
      <c r="I174" s="297">
        <v>6.5</v>
      </c>
      <c r="J174" s="297" t="s">
        <v>412</v>
      </c>
      <c r="K174" s="297"/>
      <c r="O174" s="1">
        <f t="shared" ref="O174:O182" si="25">P174/1000/SQRT(Q174/100)</f>
        <v>0.37947331922020555</v>
      </c>
      <c r="P174" s="3">
        <v>12</v>
      </c>
      <c r="Q174" s="3">
        <v>0.1</v>
      </c>
    </row>
    <row r="175" spans="1:20" ht="16.5" customHeight="1">
      <c r="A175" s="297" t="s">
        <v>414</v>
      </c>
      <c r="B175" s="297">
        <v>1</v>
      </c>
      <c r="C175" s="297">
        <v>1</v>
      </c>
      <c r="D175" s="154">
        <f t="shared" ref="D175:I175" si="26">D174</f>
        <v>1.2</v>
      </c>
      <c r="E175" s="154">
        <f t="shared" si="26"/>
        <v>1.5999999999999999</v>
      </c>
      <c r="F175" s="154">
        <f t="shared" si="26"/>
        <v>1.9999999999999998</v>
      </c>
      <c r="G175" s="154">
        <f t="shared" si="26"/>
        <v>2.4</v>
      </c>
      <c r="H175" s="154">
        <f t="shared" si="26"/>
        <v>4.45</v>
      </c>
      <c r="I175" s="154">
        <f t="shared" si="26"/>
        <v>6.5</v>
      </c>
      <c r="J175" s="297" t="s">
        <v>413</v>
      </c>
      <c r="K175" s="297"/>
      <c r="O175" s="1">
        <f t="shared" si="25"/>
        <v>0.3794733192202055</v>
      </c>
      <c r="P175" s="3">
        <v>120</v>
      </c>
      <c r="Q175" s="3">
        <v>10</v>
      </c>
    </row>
    <row r="176" spans="1:20" ht="16.5" customHeight="1">
      <c r="A176" s="297" t="s">
        <v>4</v>
      </c>
      <c r="B176" s="297" t="s">
        <v>244</v>
      </c>
      <c r="C176" s="297" t="s">
        <v>244</v>
      </c>
      <c r="D176" s="2">
        <f t="shared" ref="D176:I176" si="27">D175*D175*3.14/4/20</f>
        <v>5.6520000000000001E-2</v>
      </c>
      <c r="E176" s="2">
        <f t="shared" si="27"/>
        <v>0.10047999999999999</v>
      </c>
      <c r="F176" s="2">
        <f t="shared" si="27"/>
        <v>0.15699999999999997</v>
      </c>
      <c r="G176" s="2">
        <f t="shared" si="27"/>
        <v>0.22608</v>
      </c>
      <c r="H176" s="2">
        <f t="shared" si="27"/>
        <v>0.77724812500000007</v>
      </c>
      <c r="I176" s="2">
        <f t="shared" si="27"/>
        <v>1.6583124999999999</v>
      </c>
      <c r="J176" s="297" t="s">
        <v>406</v>
      </c>
      <c r="K176" s="297"/>
      <c r="O176" s="1">
        <f t="shared" si="25"/>
        <v>0.79056941504209488</v>
      </c>
      <c r="P176" s="3">
        <v>25</v>
      </c>
      <c r="Q176" s="3">
        <v>0.1</v>
      </c>
    </row>
    <row r="177" spans="1:17" ht="16.5" customHeight="1">
      <c r="A177" s="297">
        <v>0.125</v>
      </c>
      <c r="B177" s="297">
        <f t="shared" ref="B177:C188" si="28">B$175*B$174*3.14*($A177-$A$173)/20</f>
        <v>6.4762499999999987E-2</v>
      </c>
      <c r="C177" s="297">
        <f t="shared" si="28"/>
        <v>6.4762499999999987E-2</v>
      </c>
      <c r="D177" s="297">
        <f t="shared" ref="D177:I188" si="29">$C177*D$176/SQRT($C177^2+D$176^2)</f>
        <v>4.2583561643835609E-2</v>
      </c>
      <c r="E177" s="297">
        <f t="shared" si="29"/>
        <v>5.4435329952069296E-2</v>
      </c>
      <c r="F177" s="297">
        <f t="shared" si="29"/>
        <v>5.986895490360452E-2</v>
      </c>
      <c r="G177" s="297">
        <f t="shared" si="29"/>
        <v>6.2258443602409688E-2</v>
      </c>
      <c r="H177" s="297">
        <f t="shared" si="29"/>
        <v>6.4538850856646193E-2</v>
      </c>
      <c r="I177" s="297">
        <f t="shared" si="29"/>
        <v>6.4713169940071535E-2</v>
      </c>
      <c r="J177" s="297"/>
      <c r="K177" s="297"/>
      <c r="O177" s="1">
        <f t="shared" si="25"/>
        <v>0.79056941504209477</v>
      </c>
      <c r="P177" s="3">
        <v>250</v>
      </c>
      <c r="Q177" s="3">
        <v>10</v>
      </c>
    </row>
    <row r="178" spans="1:17" ht="16.5" customHeight="1">
      <c r="A178" s="297">
        <v>0.25</v>
      </c>
      <c r="B178" s="297">
        <f t="shared" si="28"/>
        <v>0.388575</v>
      </c>
      <c r="C178" s="297">
        <f t="shared" si="28"/>
        <v>0.388575</v>
      </c>
      <c r="D178" s="297">
        <f t="shared" si="29"/>
        <v>5.5931425548360593E-2</v>
      </c>
      <c r="E178" s="297">
        <f t="shared" si="29"/>
        <v>9.7280222993717747E-2</v>
      </c>
      <c r="F178" s="297">
        <f t="shared" si="29"/>
        <v>0.14556714831009934</v>
      </c>
      <c r="G178" s="297">
        <f t="shared" si="29"/>
        <v>0.19541187218933595</v>
      </c>
      <c r="H178" s="297">
        <f t="shared" si="29"/>
        <v>0.34756082097998903</v>
      </c>
      <c r="I178" s="297">
        <f t="shared" si="29"/>
        <v>0.37832762007849696</v>
      </c>
      <c r="J178" s="297">
        <f>I178/O174</f>
        <v>0.99698081766575075</v>
      </c>
      <c r="K178" s="297"/>
      <c r="O178" s="1">
        <f t="shared" si="25"/>
        <v>1</v>
      </c>
      <c r="P178" s="3">
        <v>1000</v>
      </c>
      <c r="Q178" s="3">
        <v>100</v>
      </c>
    </row>
    <row r="179" spans="1:17" ht="16.5" customHeight="1">
      <c r="A179" s="297">
        <v>0.375</v>
      </c>
      <c r="B179" s="297">
        <f t="shared" si="28"/>
        <v>0.71238750000000006</v>
      </c>
      <c r="C179" s="297">
        <f t="shared" si="28"/>
        <v>0.71238750000000006</v>
      </c>
      <c r="D179" s="297">
        <f t="shared" si="29"/>
        <v>5.634294855519438E-2</v>
      </c>
      <c r="E179" s="297">
        <f t="shared" si="29"/>
        <v>9.9495184916073856E-2</v>
      </c>
      <c r="F179" s="297">
        <f t="shared" si="29"/>
        <v>0.15332076243451881</v>
      </c>
      <c r="G179" s="297">
        <f t="shared" si="29"/>
        <v>0.21548885528544626</v>
      </c>
      <c r="H179" s="297">
        <f t="shared" si="29"/>
        <v>0.52516966726866621</v>
      </c>
      <c r="I179" s="297">
        <f t="shared" si="29"/>
        <v>0.65454679311244013</v>
      </c>
      <c r="J179" s="297"/>
      <c r="K179" s="297"/>
      <c r="O179" s="1">
        <f t="shared" si="25"/>
        <v>1</v>
      </c>
      <c r="P179" s="3">
        <v>1000</v>
      </c>
      <c r="Q179" s="3">
        <v>100</v>
      </c>
    </row>
    <row r="180" spans="1:17" ht="16.5" customHeight="1">
      <c r="A180" s="297">
        <v>0.5</v>
      </c>
      <c r="B180" s="297">
        <f t="shared" si="28"/>
        <v>1.0362000000000002</v>
      </c>
      <c r="C180" s="297">
        <f t="shared" si="28"/>
        <v>1.0362000000000002</v>
      </c>
      <c r="D180" s="297">
        <f t="shared" si="29"/>
        <v>5.643610781225708E-2</v>
      </c>
      <c r="E180" s="297">
        <f t="shared" si="29"/>
        <v>0.10001089286766381</v>
      </c>
      <c r="F180" s="297">
        <f t="shared" si="29"/>
        <v>0.15522833416328835</v>
      </c>
      <c r="G180" s="297">
        <f t="shared" si="29"/>
        <v>0.22088372333957104</v>
      </c>
      <c r="H180" s="297">
        <f t="shared" si="29"/>
        <v>0.6217702365746608</v>
      </c>
      <c r="I180" s="297">
        <f t="shared" si="29"/>
        <v>0.87875426156319836</v>
      </c>
      <c r="J180" s="190">
        <f>I180/O176</f>
        <v>1.1115459880476251</v>
      </c>
      <c r="L180" s="297"/>
      <c r="M180" s="297"/>
      <c r="O180" s="1">
        <f t="shared" si="25"/>
        <v>1</v>
      </c>
      <c r="P180" s="3">
        <v>1000</v>
      </c>
      <c r="Q180" s="3">
        <v>100</v>
      </c>
    </row>
    <row r="181" spans="1:17" ht="16.5" customHeight="1">
      <c r="A181" s="297">
        <v>0.625</v>
      </c>
      <c r="B181" s="297">
        <f t="shared" si="28"/>
        <v>1.3600125000000003</v>
      </c>
      <c r="C181" s="297">
        <f t="shared" si="28"/>
        <v>1.3600125000000003</v>
      </c>
      <c r="D181" s="297">
        <f t="shared" si="29"/>
        <v>5.6471255170594765E-2</v>
      </c>
      <c r="E181" s="297">
        <f t="shared" si="29"/>
        <v>0.10020688247495214</v>
      </c>
      <c r="F181" s="297">
        <f t="shared" si="29"/>
        <v>0.15596421704853425</v>
      </c>
      <c r="G181" s="297">
        <f t="shared" si="29"/>
        <v>0.22301957450544085</v>
      </c>
      <c r="H181" s="297">
        <f t="shared" si="29"/>
        <v>0.67481937985492457</v>
      </c>
      <c r="I181" s="297">
        <f t="shared" si="29"/>
        <v>1.0515928393574165</v>
      </c>
      <c r="J181" s="297"/>
      <c r="K181" s="297"/>
      <c r="O181" s="1">
        <f t="shared" si="25"/>
        <v>1</v>
      </c>
      <c r="P181" s="3">
        <v>1000</v>
      </c>
      <c r="Q181" s="3">
        <v>100</v>
      </c>
    </row>
    <row r="182" spans="1:17" ht="16.5" customHeight="1">
      <c r="A182" s="297">
        <v>0.75</v>
      </c>
      <c r="B182" s="297">
        <f t="shared" si="28"/>
        <v>1.6838250000000001</v>
      </c>
      <c r="C182" s="297">
        <f t="shared" si="28"/>
        <v>1.6838250000000001</v>
      </c>
      <c r="D182" s="297">
        <f t="shared" si="29"/>
        <v>5.6488186184710291E-2</v>
      </c>
      <c r="E182" s="297">
        <f t="shared" si="29"/>
        <v>0.10030157447165268</v>
      </c>
      <c r="F182" s="297">
        <f t="shared" si="29"/>
        <v>0.15632196119153358</v>
      </c>
      <c r="G182" s="297">
        <f t="shared" si="29"/>
        <v>0.22406934001619017</v>
      </c>
      <c r="H182" s="297">
        <f t="shared" si="29"/>
        <v>0.7056940810459158</v>
      </c>
      <c r="I182" s="297">
        <f t="shared" si="29"/>
        <v>1.1815207656682276</v>
      </c>
      <c r="J182" s="297"/>
      <c r="K182" s="297"/>
      <c r="O182" s="1">
        <f t="shared" si="25"/>
        <v>1</v>
      </c>
      <c r="P182" s="3">
        <v>1000</v>
      </c>
      <c r="Q182" s="3">
        <v>100</v>
      </c>
    </row>
    <row r="183" spans="1:17" ht="16.5" customHeight="1">
      <c r="A183" s="297">
        <v>0.875</v>
      </c>
      <c r="B183" s="297">
        <f t="shared" si="28"/>
        <v>2.0076375000000004</v>
      </c>
      <c r="C183" s="297">
        <f t="shared" si="28"/>
        <v>2.0076375000000004</v>
      </c>
      <c r="D183" s="297">
        <f t="shared" si="29"/>
        <v>5.6497615479020144E-2</v>
      </c>
      <c r="E183" s="297">
        <f t="shared" si="29"/>
        <v>0.10035439025742882</v>
      </c>
      <c r="F183" s="297">
        <f t="shared" si="29"/>
        <v>0.15652212754960429</v>
      </c>
      <c r="G183" s="297">
        <f t="shared" si="29"/>
        <v>0.2246600299432566</v>
      </c>
      <c r="H183" s="297">
        <f t="shared" si="29"/>
        <v>0.724824878797799</v>
      </c>
      <c r="I183" s="297">
        <f t="shared" si="29"/>
        <v>1.2785488705052503</v>
      </c>
      <c r="J183" s="297"/>
      <c r="K183" s="297"/>
    </row>
    <row r="184" spans="1:17" ht="16.5" customHeight="1">
      <c r="A184" s="297">
        <v>1</v>
      </c>
      <c r="B184" s="297">
        <f t="shared" si="28"/>
        <v>2.3314500000000002</v>
      </c>
      <c r="C184" s="297">
        <f t="shared" si="28"/>
        <v>2.3314500000000002</v>
      </c>
      <c r="D184" s="297">
        <f t="shared" si="29"/>
        <v>5.6503399052401017E-2</v>
      </c>
      <c r="E184" s="297">
        <f t="shared" si="29"/>
        <v>0.10038681367394484</v>
      </c>
      <c r="F184" s="297">
        <f t="shared" si="29"/>
        <v>0.15664523336465286</v>
      </c>
      <c r="G184" s="297">
        <f t="shared" si="29"/>
        <v>0.2250245089522436</v>
      </c>
      <c r="H184" s="297">
        <f t="shared" si="29"/>
        <v>0.73735300408692894</v>
      </c>
      <c r="I184" s="297">
        <f t="shared" si="29"/>
        <v>1.3513431487084702</v>
      </c>
      <c r="J184" s="297"/>
      <c r="K184" s="297"/>
    </row>
    <row r="185" spans="1:17" ht="16.5" customHeight="1">
      <c r="A185" s="297">
        <v>1.125</v>
      </c>
      <c r="B185" s="297">
        <f t="shared" si="28"/>
        <v>2.6552625000000001</v>
      </c>
      <c r="C185" s="297">
        <f t="shared" si="28"/>
        <v>2.6552625000000001</v>
      </c>
      <c r="D185" s="297">
        <f t="shared" si="29"/>
        <v>5.6507199881567875E-2</v>
      </c>
      <c r="E185" s="297">
        <f t="shared" si="29"/>
        <v>0.10040813327874713</v>
      </c>
      <c r="F185" s="297">
        <f t="shared" si="29"/>
        <v>0.15672627333628464</v>
      </c>
      <c r="G185" s="297">
        <f t="shared" si="29"/>
        <v>0.22526494295944793</v>
      </c>
      <c r="H185" s="297">
        <f t="shared" si="29"/>
        <v>0.74594666805920984</v>
      </c>
      <c r="I185" s="297">
        <f t="shared" si="29"/>
        <v>1.4065381239206536</v>
      </c>
      <c r="J185" s="297"/>
      <c r="K185" s="297"/>
    </row>
    <row r="186" spans="1:17" ht="16.5" customHeight="1">
      <c r="A186" s="297">
        <v>1.25</v>
      </c>
      <c r="B186" s="297">
        <f t="shared" si="28"/>
        <v>2.9790749999999999</v>
      </c>
      <c r="C186" s="297">
        <f t="shared" si="28"/>
        <v>2.9790749999999999</v>
      </c>
      <c r="D186" s="297">
        <f t="shared" si="29"/>
        <v>5.6509830575737496E-2</v>
      </c>
      <c r="E186" s="297">
        <f t="shared" si="29"/>
        <v>0.1004228948000168</v>
      </c>
      <c r="F186" s="297">
        <f t="shared" si="29"/>
        <v>0.1567824282102748</v>
      </c>
      <c r="G186" s="297">
        <f t="shared" si="29"/>
        <v>0.22543177972744891</v>
      </c>
      <c r="H186" s="297">
        <f t="shared" si="29"/>
        <v>0.75207265986655192</v>
      </c>
      <c r="I186" s="297">
        <f t="shared" si="29"/>
        <v>1.4489500655763285</v>
      </c>
      <c r="J186" s="297"/>
      <c r="K186" s="297"/>
    </row>
    <row r="187" spans="1:17" ht="16.5" customHeight="1">
      <c r="A187" s="297">
        <v>1.375</v>
      </c>
      <c r="B187" s="297">
        <f t="shared" si="28"/>
        <v>3.3028874999999998</v>
      </c>
      <c r="C187" s="297">
        <f t="shared" si="28"/>
        <v>3.3028874999999998</v>
      </c>
      <c r="D187" s="297">
        <f t="shared" si="29"/>
        <v>5.6511726418815328E-2</v>
      </c>
      <c r="E187" s="297">
        <f t="shared" si="29"/>
        <v>0.10043353563597759</v>
      </c>
      <c r="F187" s="297">
        <f t="shared" si="29"/>
        <v>0.15682292950776053</v>
      </c>
      <c r="G187" s="297">
        <f t="shared" si="29"/>
        <v>0.22555222836559441</v>
      </c>
      <c r="H187" s="297">
        <f t="shared" si="29"/>
        <v>0.75658165732607163</v>
      </c>
      <c r="I187" s="297">
        <f t="shared" si="29"/>
        <v>1.4820049391899206</v>
      </c>
      <c r="J187" s="297"/>
      <c r="K187" s="297"/>
    </row>
    <row r="188" spans="1:17" ht="16.5" customHeight="1">
      <c r="A188" s="297">
        <v>1.5</v>
      </c>
      <c r="B188" s="297">
        <f t="shared" si="28"/>
        <v>3.6266999999999996</v>
      </c>
      <c r="C188" s="297">
        <f t="shared" si="28"/>
        <v>3.6266999999999996</v>
      </c>
      <c r="D188" s="297">
        <f t="shared" si="29"/>
        <v>5.6513137630495716E-2</v>
      </c>
      <c r="E188" s="297">
        <f t="shared" si="29"/>
        <v>0.10044145787257446</v>
      </c>
      <c r="F188" s="297">
        <f t="shared" si="29"/>
        <v>0.1568530952593937</v>
      </c>
      <c r="G188" s="297">
        <f t="shared" si="29"/>
        <v>0.2256420044723437</v>
      </c>
      <c r="H188" s="297">
        <f t="shared" si="29"/>
        <v>0.75999087989810221</v>
      </c>
      <c r="I188" s="297">
        <f t="shared" si="29"/>
        <v>1.5081311689195769</v>
      </c>
      <c r="J188" s="297"/>
      <c r="K188" s="297"/>
    </row>
    <row r="189" spans="1:17" ht="16.5" customHeight="1">
      <c r="A189" s="297"/>
      <c r="B189" s="297"/>
      <c r="C189" s="297"/>
      <c r="D189" s="297"/>
      <c r="E189" s="297"/>
      <c r="F189" s="297"/>
      <c r="G189" s="297"/>
      <c r="H189" s="297"/>
      <c r="I189" s="297"/>
      <c r="J189" s="297"/>
      <c r="K189" s="297"/>
    </row>
    <row r="190" spans="1:17" ht="16.5" customHeight="1">
      <c r="A190" s="86" t="s">
        <v>1359</v>
      </c>
      <c r="B190" s="297"/>
      <c r="C190" s="297"/>
      <c r="D190" s="297"/>
      <c r="E190" s="297"/>
      <c r="F190" s="297"/>
      <c r="G190" s="297"/>
      <c r="H190" s="297"/>
      <c r="I190" s="297"/>
      <c r="J190" s="297"/>
      <c r="K190" s="297"/>
    </row>
    <row r="191" spans="1:17" ht="16.5" customHeight="1">
      <c r="A191" s="297" t="s">
        <v>1360</v>
      </c>
      <c r="B191" s="297"/>
      <c r="C191" s="297"/>
      <c r="D191" s="297"/>
      <c r="E191" s="297"/>
      <c r="F191" s="297"/>
      <c r="G191" s="297"/>
      <c r="H191" s="297"/>
      <c r="I191" s="297"/>
      <c r="J191" s="297"/>
      <c r="K191" s="297"/>
    </row>
    <row r="192" spans="1:17" ht="16.5" customHeight="1">
      <c r="A192" s="297"/>
      <c r="B192" s="297"/>
      <c r="C192" s="2" t="s">
        <v>171</v>
      </c>
      <c r="D192" s="1"/>
      <c r="E192" s="1"/>
      <c r="F192" s="297"/>
      <c r="G192" s="2" t="s">
        <v>171</v>
      </c>
      <c r="H192" s="1"/>
      <c r="I192" s="1"/>
      <c r="J192" s="297"/>
      <c r="K192" s="297"/>
    </row>
    <row r="193" spans="1:11" ht="16.5" customHeight="1" thickBot="1">
      <c r="A193" s="297"/>
      <c r="B193" s="297"/>
      <c r="C193" s="1" t="s">
        <v>172</v>
      </c>
      <c r="D193" s="8" t="s">
        <v>2</v>
      </c>
      <c r="E193" s="9" t="s">
        <v>1</v>
      </c>
      <c r="F193" s="297"/>
      <c r="G193" s="1" t="s">
        <v>172</v>
      </c>
      <c r="H193" s="8" t="s">
        <v>2</v>
      </c>
      <c r="I193" s="9" t="s">
        <v>1</v>
      </c>
      <c r="J193" s="297"/>
      <c r="K193" s="297"/>
    </row>
    <row r="194" spans="1:11" ht="16.5" customHeight="1">
      <c r="C194" s="190">
        <v>1</v>
      </c>
      <c r="D194" s="3">
        <v>1.5</v>
      </c>
      <c r="E194" s="3">
        <v>0.1</v>
      </c>
      <c r="F194" s="1">
        <f t="shared" ref="F194:F201" si="30">D194/1000/SQRT(E194/100)</f>
        <v>4.7434164902525694E-2</v>
      </c>
      <c r="G194" s="1">
        <f>H194/1000/SQRT(I194/100)</f>
        <v>2.5455844122715707E-2</v>
      </c>
      <c r="H194" s="3">
        <v>18</v>
      </c>
      <c r="I194" s="3">
        <v>50</v>
      </c>
    </row>
    <row r="195" spans="1:11" ht="16.5" customHeight="1">
      <c r="C195" s="190">
        <v>2</v>
      </c>
      <c r="D195" s="3">
        <v>2.6</v>
      </c>
      <c r="E195" s="3">
        <v>0.1</v>
      </c>
      <c r="F195" s="1">
        <f t="shared" si="30"/>
        <v>8.2219219164377869E-2</v>
      </c>
      <c r="G195" s="1">
        <f t="shared" ref="G195:G201" si="31">H195/1000/SQRT(I195/100)</f>
        <v>4.6669047558312138E-2</v>
      </c>
      <c r="H195" s="3">
        <v>33</v>
      </c>
      <c r="I195" s="3">
        <v>50</v>
      </c>
    </row>
    <row r="196" spans="1:11" ht="16.5" customHeight="1">
      <c r="C196" s="190">
        <v>3</v>
      </c>
      <c r="D196" s="3">
        <v>4</v>
      </c>
      <c r="E196" s="3">
        <v>0.1</v>
      </c>
      <c r="F196" s="1">
        <f t="shared" si="30"/>
        <v>0.12649110640673519</v>
      </c>
      <c r="G196" s="1">
        <f t="shared" si="31"/>
        <v>8.4852813742385694E-2</v>
      </c>
      <c r="H196" s="3">
        <v>60</v>
      </c>
      <c r="I196" s="3">
        <v>50</v>
      </c>
    </row>
    <row r="197" spans="1:11" ht="16.5" customHeight="1">
      <c r="C197" s="190">
        <v>4</v>
      </c>
      <c r="D197" s="3">
        <v>6.8</v>
      </c>
      <c r="E197" s="3">
        <v>0.1</v>
      </c>
      <c r="F197" s="1">
        <f t="shared" si="30"/>
        <v>0.21503488089144979</v>
      </c>
      <c r="G197" s="1">
        <f t="shared" si="31"/>
        <v>0.12727922061357855</v>
      </c>
      <c r="H197" s="3">
        <v>90</v>
      </c>
      <c r="I197" s="3">
        <v>50</v>
      </c>
    </row>
    <row r="198" spans="1:11" ht="16.5" customHeight="1">
      <c r="C198" s="190">
        <v>5</v>
      </c>
      <c r="D198" s="3">
        <v>7.8</v>
      </c>
      <c r="E198" s="3">
        <v>0.1</v>
      </c>
      <c r="F198" s="1">
        <f t="shared" si="30"/>
        <v>0.24665765749313359</v>
      </c>
      <c r="G198" s="1">
        <f t="shared" si="31"/>
        <v>0.21213203435596423</v>
      </c>
      <c r="H198" s="3">
        <v>150</v>
      </c>
      <c r="I198" s="3">
        <v>50</v>
      </c>
    </row>
    <row r="199" spans="1:11" ht="16.5" customHeight="1">
      <c r="C199" s="190">
        <v>6</v>
      </c>
      <c r="D199" s="3">
        <v>9.6</v>
      </c>
      <c r="E199" s="3">
        <v>0.1</v>
      </c>
      <c r="F199" s="1">
        <f t="shared" si="30"/>
        <v>0.30357865537616441</v>
      </c>
      <c r="G199" s="1">
        <f t="shared" si="31"/>
        <v>0.2545584412271571</v>
      </c>
      <c r="H199" s="3">
        <v>180</v>
      </c>
      <c r="I199" s="3">
        <v>50</v>
      </c>
    </row>
    <row r="200" spans="1:11" ht="16.5" customHeight="1">
      <c r="C200" s="190">
        <v>7</v>
      </c>
      <c r="D200" s="3">
        <v>12</v>
      </c>
      <c r="E200" s="3">
        <v>0.1</v>
      </c>
      <c r="F200" s="1">
        <f t="shared" si="30"/>
        <v>0.37947331922020555</v>
      </c>
      <c r="G200" s="1">
        <f t="shared" si="31"/>
        <v>0.33941125496954277</v>
      </c>
      <c r="H200" s="3">
        <v>240</v>
      </c>
      <c r="I200" s="3">
        <v>50</v>
      </c>
    </row>
    <row r="201" spans="1:11" ht="16.5" customHeight="1">
      <c r="C201" s="190">
        <v>8</v>
      </c>
      <c r="D201" s="3">
        <v>12</v>
      </c>
      <c r="E201" s="3">
        <v>0.1</v>
      </c>
      <c r="F201" s="1">
        <f t="shared" si="30"/>
        <v>0.37947331922020555</v>
      </c>
      <c r="G201" s="1">
        <f t="shared" si="31"/>
        <v>0.33941125496954277</v>
      </c>
      <c r="H201" s="3">
        <v>240</v>
      </c>
      <c r="I201" s="3">
        <v>50</v>
      </c>
    </row>
    <row r="202" spans="1:11" ht="16.5" customHeight="1">
      <c r="C202" s="1">
        <f t="shared" ref="C202:C206" si="32">D202/1000/SQRT(E202/100)</f>
        <v>1</v>
      </c>
      <c r="D202" s="3">
        <v>1000</v>
      </c>
      <c r="E202" s="3">
        <v>100</v>
      </c>
    </row>
    <row r="203" spans="1:11" ht="16.5" customHeight="1">
      <c r="C203" s="1">
        <f t="shared" si="32"/>
        <v>1</v>
      </c>
      <c r="D203" s="3">
        <v>1000</v>
      </c>
      <c r="E203" s="3">
        <v>100</v>
      </c>
    </row>
    <row r="204" spans="1:11" ht="16.5" customHeight="1">
      <c r="C204" s="1">
        <f t="shared" si="32"/>
        <v>1</v>
      </c>
      <c r="D204" s="3">
        <v>1000</v>
      </c>
      <c r="E204" s="3">
        <v>100</v>
      </c>
    </row>
    <row r="205" spans="1:11" ht="16.5" customHeight="1">
      <c r="C205" s="1">
        <f t="shared" si="32"/>
        <v>1</v>
      </c>
      <c r="D205" s="3">
        <v>1000</v>
      </c>
      <c r="E205" s="3">
        <v>100</v>
      </c>
    </row>
    <row r="206" spans="1:11" ht="16.5" customHeight="1">
      <c r="C206" s="1">
        <f t="shared" si="32"/>
        <v>1</v>
      </c>
      <c r="D206" s="3">
        <v>1000</v>
      </c>
      <c r="E206" s="3">
        <v>100</v>
      </c>
    </row>
    <row r="209" spans="1:27" ht="16.5" customHeight="1">
      <c r="R209" s="297" t="s">
        <v>1380</v>
      </c>
    </row>
    <row r="210" spans="1:27" ht="16.5" customHeight="1">
      <c r="A210" s="297" t="s">
        <v>1372</v>
      </c>
      <c r="R210" s="297" t="s">
        <v>436</v>
      </c>
      <c r="S210" s="297" t="s">
        <v>945</v>
      </c>
      <c r="T210" s="297" t="s">
        <v>2</v>
      </c>
      <c r="U210" s="297" t="s">
        <v>1</v>
      </c>
      <c r="V210" s="297" t="s">
        <v>244</v>
      </c>
    </row>
    <row r="211" spans="1:27" ht="16.5" customHeight="1">
      <c r="A211" s="297" t="s">
        <v>1377</v>
      </c>
      <c r="I211" s="297" t="s">
        <v>1378</v>
      </c>
      <c r="R211" s="190">
        <v>0.2</v>
      </c>
      <c r="S211" s="297">
        <v>6</v>
      </c>
      <c r="T211" s="190">
        <f>3600/S211</f>
        <v>600</v>
      </c>
      <c r="U211" s="190">
        <f>100*R211</f>
        <v>20</v>
      </c>
      <c r="V211" s="1">
        <f t="shared" ref="V211:V213" si="33">T211/1000/SQRT(U211/100)</f>
        <v>1.3416407864998738</v>
      </c>
      <c r="W211" s="297" t="s">
        <v>1381</v>
      </c>
    </row>
    <row r="212" spans="1:27" ht="16.5" customHeight="1">
      <c r="A212" s="297"/>
      <c r="B212" s="297" t="s">
        <v>4</v>
      </c>
      <c r="C212" s="297" t="s">
        <v>412</v>
      </c>
      <c r="D212" s="297" t="s">
        <v>244</v>
      </c>
      <c r="E212" s="297"/>
      <c r="F212" s="297"/>
      <c r="I212" s="297"/>
      <c r="J212" s="297"/>
      <c r="K212" s="297" t="s">
        <v>1376</v>
      </c>
      <c r="L212" s="297" t="s">
        <v>1375</v>
      </c>
      <c r="M212" s="297" t="s">
        <v>1374</v>
      </c>
      <c r="N212" s="297" t="s">
        <v>1379</v>
      </c>
      <c r="R212" s="190">
        <v>0.16</v>
      </c>
      <c r="S212" s="190">
        <v>56.6</v>
      </c>
      <c r="T212" s="297">
        <f>3600/S212</f>
        <v>63.60424028268551</v>
      </c>
      <c r="U212" s="297">
        <f>100*R212</f>
        <v>16</v>
      </c>
      <c r="V212" s="1">
        <f t="shared" ref="V212" si="34">T212/1000/SQRT(U212/100)</f>
        <v>0.15901060070671375</v>
      </c>
      <c r="W212" s="297" t="s">
        <v>1382</v>
      </c>
      <c r="X212" s="297"/>
      <c r="Y212" s="297"/>
      <c r="Z212" s="297">
        <v>0.17</v>
      </c>
      <c r="AA212" s="297">
        <f>V212/Z212</f>
        <v>0.93535647474537487</v>
      </c>
    </row>
    <row r="213" spans="1:27" ht="16.5" customHeight="1">
      <c r="A213" s="297">
        <v>1</v>
      </c>
      <c r="B213" s="297">
        <v>1</v>
      </c>
      <c r="C213" s="297">
        <f>B213*B213*3.14/4</f>
        <v>0.78500000000000003</v>
      </c>
      <c r="D213" s="297">
        <f>C213/20</f>
        <v>3.925E-2</v>
      </c>
      <c r="E213" s="297"/>
      <c r="F213" s="297"/>
      <c r="I213" s="297">
        <v>11</v>
      </c>
      <c r="J213" s="297" t="s">
        <v>1373</v>
      </c>
      <c r="K213" s="297">
        <f>3.14*2*I213</f>
        <v>69.08</v>
      </c>
      <c r="L213" s="297">
        <v>0.3</v>
      </c>
      <c r="M213" s="297">
        <f>K213*L213</f>
        <v>20.724</v>
      </c>
      <c r="N213" s="297">
        <f>M213/20</f>
        <v>1.0362</v>
      </c>
      <c r="T213" s="190">
        <v>1000</v>
      </c>
      <c r="U213" s="190">
        <v>100</v>
      </c>
      <c r="V213" s="1">
        <f t="shared" si="33"/>
        <v>1</v>
      </c>
    </row>
    <row r="214" spans="1:27" ht="16.5" customHeight="1">
      <c r="A214" s="297">
        <v>2</v>
      </c>
      <c r="B214" s="297">
        <v>2.1</v>
      </c>
      <c r="C214" s="297">
        <f>B214*B214*3.14/4</f>
        <v>3.4618500000000001</v>
      </c>
      <c r="D214" s="297">
        <f>C214/20</f>
        <v>0.17309250000000001</v>
      </c>
      <c r="E214" s="297"/>
      <c r="F214" s="297"/>
      <c r="I214" s="297"/>
      <c r="J214" s="297"/>
      <c r="K214" s="297"/>
      <c r="L214" s="297"/>
      <c r="M214" s="297"/>
      <c r="N214" s="297"/>
      <c r="V214" s="1"/>
    </row>
    <row r="215" spans="1:27" ht="16.5" customHeight="1">
      <c r="A215" s="297">
        <v>3</v>
      </c>
      <c r="B215" s="297">
        <v>3.2</v>
      </c>
      <c r="C215" s="297">
        <f>B215*B215*3.14/4</f>
        <v>8.0384000000000011</v>
      </c>
      <c r="D215" s="297">
        <f>C215/20</f>
        <v>0.40192000000000005</v>
      </c>
      <c r="E215" s="297"/>
      <c r="F215" s="297"/>
    </row>
    <row r="216" spans="1:27" ht="16.5" customHeight="1">
      <c r="A216" s="297">
        <v>4</v>
      </c>
      <c r="B216" s="297">
        <v>4</v>
      </c>
      <c r="C216" s="297">
        <f>B216*B216*3.14/4</f>
        <v>12.56</v>
      </c>
      <c r="D216" s="297">
        <f>C216/20</f>
        <v>0.628</v>
      </c>
      <c r="E216" s="297"/>
      <c r="F216" s="297"/>
    </row>
    <row r="217" spans="1:27" ht="16.5" customHeight="1">
      <c r="A217" s="297">
        <v>5</v>
      </c>
      <c r="B217" s="297">
        <v>5.2</v>
      </c>
      <c r="C217" s="297">
        <f>B217*B217*3.14/4</f>
        <v>21.226400000000002</v>
      </c>
      <c r="D217" s="297">
        <f>C217/20</f>
        <v>1.06132</v>
      </c>
      <c r="E217" s="297"/>
      <c r="F217" s="297"/>
    </row>
    <row r="218" spans="1:27" ht="16.5" customHeight="1">
      <c r="A218" s="297">
        <v>6</v>
      </c>
      <c r="B218" s="297"/>
      <c r="C218" s="297"/>
      <c r="D218" s="297"/>
      <c r="E218" s="297"/>
      <c r="F218" s="297"/>
    </row>
    <row r="219" spans="1:27" ht="16.5" customHeight="1">
      <c r="A219" s="297"/>
      <c r="B219" s="297"/>
      <c r="C219" s="297"/>
      <c r="D219" s="297"/>
      <c r="E219" s="297"/>
      <c r="F219" s="297"/>
    </row>
    <row r="223" spans="1:27" ht="16.5" customHeight="1">
      <c r="A223" s="297"/>
      <c r="B223" s="297"/>
      <c r="C223" s="297"/>
      <c r="D223" s="297"/>
      <c r="E223" s="297"/>
      <c r="F223" s="297"/>
    </row>
  </sheetData>
  <mergeCells count="1">
    <mergeCell ref="A36:A37"/>
  </mergeCells>
  <hyperlinks>
    <hyperlink ref="P36" r:id="rId1"/>
    <hyperlink ref="A34" r:id="rId2"/>
    <hyperlink ref="B122" r:id="rId3"/>
    <hyperlink ref="B120" r:id="rId4"/>
    <hyperlink ref="A171" r:id="rId5"/>
    <hyperlink ref="A190" r:id="rId6"/>
  </hyperlinks>
  <pageMargins left="0.7" right="0.7" top="0.78740157499999996" bottom="0.78740157499999996" header="0.3" footer="0.3"/>
  <drawing r:id="rId7"/>
</worksheet>
</file>

<file path=xl/worksheets/sheet13.xml><?xml version="1.0" encoding="utf-8"?>
<worksheet xmlns="http://schemas.openxmlformats.org/spreadsheetml/2006/main" xmlns:r="http://schemas.openxmlformats.org/officeDocument/2006/relationships">
  <dimension ref="A1:Q69"/>
  <sheetViews>
    <sheetView topLeftCell="A46" workbookViewId="0">
      <selection activeCell="B5" sqref="B5"/>
    </sheetView>
  </sheetViews>
  <sheetFormatPr defaultRowHeight="15"/>
  <cols>
    <col min="1" max="1" width="9.140625" style="61"/>
    <col min="2" max="2" width="8.42578125" style="61" customWidth="1"/>
    <col min="3" max="3" width="6.5703125" style="61" customWidth="1"/>
    <col min="4" max="4" width="14" style="61" customWidth="1"/>
    <col min="5" max="5" width="13.5703125" style="61" customWidth="1"/>
    <col min="6" max="6" width="13.85546875" style="61" customWidth="1"/>
    <col min="7" max="7" width="8" style="61" customWidth="1"/>
    <col min="8" max="8" width="11" style="61" bestFit="1" customWidth="1"/>
    <col min="9" max="10" width="11" style="61" customWidth="1"/>
    <col min="11" max="11" width="9" style="61" customWidth="1"/>
    <col min="12" max="14" width="11" style="61" customWidth="1"/>
    <col min="15" max="16384" width="9.140625" style="61"/>
  </cols>
  <sheetData>
    <row r="1" spans="1:17" s="190" customFormat="1">
      <c r="N1" s="2" t="s">
        <v>553</v>
      </c>
      <c r="O1" s="1"/>
    </row>
    <row r="2" spans="1:17" s="190" customFormat="1" ht="15.75" thickBot="1">
      <c r="A2" s="95" t="s">
        <v>124</v>
      </c>
      <c r="B2" s="95" t="s">
        <v>15</v>
      </c>
      <c r="C2" s="95" t="s">
        <v>554</v>
      </c>
      <c r="D2" s="209" t="s">
        <v>456</v>
      </c>
      <c r="E2" s="210" t="s">
        <v>555</v>
      </c>
      <c r="F2" s="210" t="s">
        <v>556</v>
      </c>
      <c r="G2" s="92" t="s">
        <v>14</v>
      </c>
      <c r="H2" s="92" t="s">
        <v>278</v>
      </c>
      <c r="I2" s="92"/>
      <c r="J2" s="92" t="s">
        <v>244</v>
      </c>
      <c r="K2" s="92" t="s">
        <v>557</v>
      </c>
      <c r="L2" s="92" t="s">
        <v>558</v>
      </c>
      <c r="N2" s="8" t="s">
        <v>2</v>
      </c>
      <c r="O2" s="9" t="s">
        <v>1</v>
      </c>
      <c r="P2" s="190" t="s">
        <v>559</v>
      </c>
      <c r="Q2" s="1" t="s">
        <v>172</v>
      </c>
    </row>
    <row r="3" spans="1:17" s="190" customFormat="1">
      <c r="A3" s="154">
        <v>2.0000000000000002E-5</v>
      </c>
      <c r="B3" s="154">
        <v>14</v>
      </c>
      <c r="C3" s="154">
        <v>1000</v>
      </c>
      <c r="D3" s="190">
        <f>10000*A3</f>
        <v>0.2</v>
      </c>
      <c r="E3" s="190">
        <f>SQRT(A3*4/3.14)*1000</f>
        <v>5.0475446512506883</v>
      </c>
      <c r="F3" s="190">
        <f>B3*B3/20</f>
        <v>9.8000000000000007</v>
      </c>
      <c r="G3" s="190">
        <f>F3*C3*10</f>
        <v>98000</v>
      </c>
      <c r="H3" s="190">
        <f>B3*A3*3600</f>
        <v>1.008</v>
      </c>
      <c r="I3" s="190" t="s">
        <v>473</v>
      </c>
      <c r="J3" s="190">
        <f>SQRT(G3/100000)/H3</f>
        <v>0.98209275164798271</v>
      </c>
      <c r="K3" s="190">
        <f>J3/SQRT(C3)</f>
        <v>3.1056499687497081E-2</v>
      </c>
      <c r="L3" s="190">
        <f>K3*A3</f>
        <v>6.2112999374994172E-7</v>
      </c>
      <c r="N3" s="3">
        <v>1000</v>
      </c>
      <c r="O3" s="3">
        <v>104</v>
      </c>
      <c r="P3" s="190">
        <f>20*Q3</f>
        <v>20</v>
      </c>
      <c r="Q3" s="1">
        <f>N3/1000/SQRT(O3/104)</f>
        <v>1</v>
      </c>
    </row>
    <row r="4" spans="1:17" s="190" customFormat="1">
      <c r="A4" s="154">
        <v>8.9999999999999998E-4</v>
      </c>
      <c r="B4" s="154">
        <v>9</v>
      </c>
      <c r="C4" s="154">
        <v>1.2</v>
      </c>
      <c r="D4" s="190">
        <f>10000*A4</f>
        <v>9</v>
      </c>
      <c r="E4" s="190">
        <f>SQRT(A4*4/3.14)*1000</f>
        <v>33.859958878986021</v>
      </c>
      <c r="F4" s="190">
        <f>B4*B4/20</f>
        <v>4.05</v>
      </c>
      <c r="G4" s="190">
        <f>F4*C4*10</f>
        <v>48.599999999999994</v>
      </c>
      <c r="H4" s="190">
        <f>B4*A4*3600</f>
        <v>29.16</v>
      </c>
      <c r="I4" s="190" t="s">
        <v>472</v>
      </c>
      <c r="J4" s="190">
        <f>SQRT(G4/100000)/H4</f>
        <v>7.5601535271085734E-4</v>
      </c>
      <c r="K4" s="190">
        <f>J4/SQRT(C4)</f>
        <v>6.90144437499935E-4</v>
      </c>
      <c r="L4" s="190">
        <f>K4*A4</f>
        <v>6.2112999374994151E-7</v>
      </c>
    </row>
    <row r="5" spans="1:17" s="190" customFormat="1">
      <c r="A5" s="154">
        <v>1.4999999999999999E-2</v>
      </c>
      <c r="B5" s="154">
        <v>1.2</v>
      </c>
      <c r="C5" s="154">
        <v>1.2</v>
      </c>
      <c r="D5" s="190">
        <f>10000*A5</f>
        <v>150</v>
      </c>
      <c r="E5" s="190">
        <f>SQRT(A5*4/3.14)*1000</f>
        <v>138.23270327522741</v>
      </c>
      <c r="F5" s="190">
        <f>B5*B5/20</f>
        <v>7.1999999999999995E-2</v>
      </c>
      <c r="G5" s="190">
        <f>F5*C5*10</f>
        <v>0.86399999999999988</v>
      </c>
      <c r="H5" s="190">
        <f>B5*A5*3600</f>
        <v>64.8</v>
      </c>
      <c r="I5" s="190" t="s">
        <v>472</v>
      </c>
      <c r="J5" s="190">
        <f>SQRT(G5/100000)/H5</f>
        <v>4.5360921162651446E-5</v>
      </c>
      <c r="K5" s="190">
        <f>J5/SQRT(C5)</f>
        <v>4.1408666249996105E-5</v>
      </c>
      <c r="L5" s="190">
        <f>K5*A5</f>
        <v>6.2112999374994151E-7</v>
      </c>
    </row>
    <row r="6" spans="1:17" s="190" customFormat="1"/>
    <row r="7" spans="1:17" s="190" customFormat="1"/>
    <row r="8" spans="1:17" s="190" customFormat="1"/>
    <row r="9" spans="1:17">
      <c r="D9" s="61" t="s">
        <v>262</v>
      </c>
    </row>
    <row r="10" spans="1:17">
      <c r="B10" s="2" t="s">
        <v>171</v>
      </c>
      <c r="C10" s="1"/>
      <c r="D10" s="1"/>
    </row>
    <row r="11" spans="1:17" ht="15.75" thickBot="1">
      <c r="B11" s="1" t="s">
        <v>172</v>
      </c>
      <c r="C11" s="8" t="s">
        <v>2</v>
      </c>
      <c r="D11" s="9" t="s">
        <v>1</v>
      </c>
      <c r="F11" s="61" t="s">
        <v>261</v>
      </c>
      <c r="H11" s="61" t="s">
        <v>260</v>
      </c>
      <c r="J11" s="71" t="s">
        <v>259</v>
      </c>
    </row>
    <row r="12" spans="1:17">
      <c r="B12" s="1">
        <f>C12/1000/SQRT(D12/104)</f>
        <v>1</v>
      </c>
      <c r="C12" s="3">
        <v>1000</v>
      </c>
      <c r="D12" s="3">
        <v>104</v>
      </c>
      <c r="J12" s="71" t="s">
        <v>258</v>
      </c>
    </row>
    <row r="13" spans="1:17">
      <c r="B13" s="1">
        <f>C13/1000/SQRT(D13/104)</f>
        <v>8.9</v>
      </c>
      <c r="C13" s="61">
        <v>8900</v>
      </c>
      <c r="D13" s="61">
        <v>104</v>
      </c>
    </row>
    <row r="16" spans="1:17" ht="15.75">
      <c r="A16" s="61" t="s">
        <v>257</v>
      </c>
      <c r="B16" s="70" t="s">
        <v>1</v>
      </c>
      <c r="C16" s="61" t="s">
        <v>177</v>
      </c>
      <c r="D16" s="70" t="s">
        <v>256</v>
      </c>
      <c r="E16" s="61" t="s">
        <v>255</v>
      </c>
      <c r="F16" s="61" t="s">
        <v>254</v>
      </c>
      <c r="G16" s="61" t="s">
        <v>253</v>
      </c>
      <c r="H16" s="61" t="s">
        <v>2</v>
      </c>
      <c r="I16" s="96" t="s">
        <v>244</v>
      </c>
      <c r="J16" s="96"/>
      <c r="K16" s="96" t="s">
        <v>252</v>
      </c>
      <c r="L16" s="96"/>
    </row>
    <row r="17" spans="1:17">
      <c r="A17" s="61">
        <v>1</v>
      </c>
      <c r="B17" s="61">
        <v>595</v>
      </c>
      <c r="C17" s="61">
        <f t="shared" ref="C17:C30" si="0">B17/9.8</f>
        <v>60.714285714285708</v>
      </c>
      <c r="D17" s="71">
        <v>0.95</v>
      </c>
      <c r="E17" s="61">
        <f t="shared" ref="E17:E30" si="1">D17*D17*3.14/4</f>
        <v>0.7084625</v>
      </c>
      <c r="F17" s="61">
        <v>1</v>
      </c>
      <c r="G17" s="61">
        <f t="shared" ref="G17:G30" si="2">SQRT(2*9.8*C17)</f>
        <v>34.496376621320678</v>
      </c>
      <c r="H17" s="61">
        <f t="shared" ref="H17:H30" si="3">E17/1000*F17*G17*3600</f>
        <v>87.981801199496658</v>
      </c>
      <c r="I17" s="61">
        <f t="shared" ref="I17:I30" si="4">H17/1000/SQRT(B17/98)</f>
        <v>3.5706510000000004E-2</v>
      </c>
      <c r="J17" s="61">
        <f t="shared" ref="J17:J30" si="5">I17/E17</f>
        <v>5.0400000000000007E-2</v>
      </c>
      <c r="K17" s="61">
        <f t="shared" ref="K17:K30" si="6">1/J17</f>
        <v>19.841269841269838</v>
      </c>
    </row>
    <row r="18" spans="1:17">
      <c r="A18" s="61">
        <v>2</v>
      </c>
      <c r="B18" s="61">
        <v>115</v>
      </c>
      <c r="C18" s="61">
        <f t="shared" si="0"/>
        <v>11.73469387755102</v>
      </c>
      <c r="D18" s="71">
        <v>1.44</v>
      </c>
      <c r="E18" s="61">
        <f t="shared" si="1"/>
        <v>1.6277759999999999</v>
      </c>
      <c r="F18" s="61">
        <f t="shared" ref="F18:F30" si="7">F17</f>
        <v>1</v>
      </c>
      <c r="G18" s="61">
        <f t="shared" si="2"/>
        <v>15.165750888103101</v>
      </c>
      <c r="H18" s="61">
        <f t="shared" si="3"/>
        <v>88.871203143478482</v>
      </c>
      <c r="I18" s="61">
        <f t="shared" si="4"/>
        <v>8.2039910399999999E-2</v>
      </c>
      <c r="J18" s="61">
        <f t="shared" si="5"/>
        <v>5.04E-2</v>
      </c>
      <c r="K18" s="61">
        <f t="shared" si="6"/>
        <v>19.841269841269842</v>
      </c>
    </row>
    <row r="19" spans="1:17">
      <c r="A19" s="61">
        <v>3</v>
      </c>
      <c r="B19" s="61">
        <v>22</v>
      </c>
      <c r="C19" s="61">
        <f t="shared" si="0"/>
        <v>2.2448979591836733</v>
      </c>
      <c r="D19" s="71">
        <v>2.1800000000000002</v>
      </c>
      <c r="E19" s="61">
        <f t="shared" si="1"/>
        <v>3.7306340000000007</v>
      </c>
      <c r="F19" s="61">
        <f t="shared" si="7"/>
        <v>1</v>
      </c>
      <c r="G19" s="61">
        <f t="shared" si="2"/>
        <v>6.6332495807107996</v>
      </c>
      <c r="H19" s="61">
        <f t="shared" si="3"/>
        <v>89.08641509862764</v>
      </c>
      <c r="I19" s="61">
        <f t="shared" si="4"/>
        <v>0.18802395360000002</v>
      </c>
      <c r="J19" s="61">
        <f t="shared" si="5"/>
        <v>5.0399999999999993E-2</v>
      </c>
      <c r="K19" s="61">
        <f t="shared" si="6"/>
        <v>19.841269841269845</v>
      </c>
    </row>
    <row r="20" spans="1:17">
      <c r="A20" s="61">
        <v>4</v>
      </c>
      <c r="B20" s="61">
        <v>6.5</v>
      </c>
      <c r="C20" s="61">
        <f t="shared" si="0"/>
        <v>0.66326530612244894</v>
      </c>
      <c r="D20" s="71">
        <v>2.95</v>
      </c>
      <c r="E20" s="61">
        <f t="shared" si="1"/>
        <v>6.8314625000000007</v>
      </c>
      <c r="F20" s="61">
        <f t="shared" si="7"/>
        <v>1</v>
      </c>
      <c r="G20" s="61">
        <f t="shared" si="2"/>
        <v>3.6055512754639891</v>
      </c>
      <c r="H20" s="61">
        <f t="shared" si="3"/>
        <v>88.672277988573896</v>
      </c>
      <c r="I20" s="61">
        <f t="shared" si="4"/>
        <v>0.34430570999999999</v>
      </c>
      <c r="J20" s="61">
        <f t="shared" si="5"/>
        <v>5.0399999999999993E-2</v>
      </c>
      <c r="K20" s="61">
        <f t="shared" si="6"/>
        <v>19.841269841269845</v>
      </c>
    </row>
    <row r="21" spans="1:17">
      <c r="A21" s="61">
        <v>5</v>
      </c>
      <c r="B21" s="61">
        <v>2.9</v>
      </c>
      <c r="C21" s="61">
        <f t="shared" si="0"/>
        <v>0.29591836734693877</v>
      </c>
      <c r="D21" s="71">
        <v>3.6</v>
      </c>
      <c r="E21" s="61">
        <f t="shared" si="1"/>
        <v>10.1736</v>
      </c>
      <c r="F21" s="61">
        <f t="shared" si="7"/>
        <v>1</v>
      </c>
      <c r="G21" s="61">
        <f t="shared" si="2"/>
        <v>2.4083189157584592</v>
      </c>
      <c r="H21" s="61">
        <f t="shared" si="3"/>
        <v>88.20458395689694</v>
      </c>
      <c r="I21" s="61">
        <f t="shared" si="4"/>
        <v>0.51274944000000011</v>
      </c>
      <c r="J21" s="61">
        <f t="shared" si="5"/>
        <v>5.0400000000000007E-2</v>
      </c>
      <c r="K21" s="61">
        <f t="shared" si="6"/>
        <v>19.841269841269838</v>
      </c>
    </row>
    <row r="22" spans="1:17">
      <c r="A22" s="61">
        <v>6</v>
      </c>
      <c r="B22" s="61">
        <v>1.3</v>
      </c>
      <c r="C22" s="61">
        <f t="shared" si="0"/>
        <v>0.1326530612244898</v>
      </c>
      <c r="D22" s="71">
        <v>4.4000000000000004</v>
      </c>
      <c r="E22" s="61">
        <f t="shared" si="1"/>
        <v>15.197600000000003</v>
      </c>
      <c r="F22" s="61">
        <f t="shared" si="7"/>
        <v>1</v>
      </c>
      <c r="G22" s="61">
        <f t="shared" si="2"/>
        <v>1.61245154965971</v>
      </c>
      <c r="H22" s="61">
        <f t="shared" si="3"/>
        <v>88.219417215990291</v>
      </c>
      <c r="I22" s="61">
        <f t="shared" si="4"/>
        <v>0.76595904000000015</v>
      </c>
      <c r="J22" s="61">
        <f t="shared" si="5"/>
        <v>5.04E-2</v>
      </c>
      <c r="K22" s="61">
        <f t="shared" si="6"/>
        <v>19.841269841269842</v>
      </c>
    </row>
    <row r="23" spans="1:17">
      <c r="A23" s="61" t="s">
        <v>251</v>
      </c>
      <c r="B23" s="61">
        <v>98</v>
      </c>
      <c r="C23" s="61">
        <f t="shared" si="0"/>
        <v>10</v>
      </c>
      <c r="D23" s="61">
        <v>5</v>
      </c>
      <c r="E23" s="61">
        <f t="shared" si="1"/>
        <v>19.625</v>
      </c>
      <c r="F23" s="61">
        <f t="shared" si="7"/>
        <v>1</v>
      </c>
      <c r="G23" s="61">
        <f t="shared" si="2"/>
        <v>14</v>
      </c>
      <c r="H23" s="61">
        <f t="shared" si="3"/>
        <v>989.1</v>
      </c>
      <c r="I23" s="61">
        <f t="shared" si="4"/>
        <v>0.98909999999999998</v>
      </c>
      <c r="J23" s="61">
        <f t="shared" si="5"/>
        <v>5.04E-2</v>
      </c>
      <c r="K23" s="61">
        <f t="shared" si="6"/>
        <v>19.841269841269842</v>
      </c>
    </row>
    <row r="24" spans="1:17">
      <c r="A24" s="61">
        <v>3</v>
      </c>
      <c r="B24" s="61">
        <v>98</v>
      </c>
      <c r="C24" s="61">
        <f t="shared" si="0"/>
        <v>10</v>
      </c>
      <c r="D24" s="61">
        <v>8.6999999999999993</v>
      </c>
      <c r="E24" s="71">
        <f t="shared" si="1"/>
        <v>59.41664999999999</v>
      </c>
      <c r="F24" s="61">
        <f t="shared" si="7"/>
        <v>1</v>
      </c>
      <c r="G24" s="61">
        <f t="shared" si="2"/>
        <v>14</v>
      </c>
      <c r="H24" s="61">
        <f t="shared" si="3"/>
        <v>2994.5991599999998</v>
      </c>
      <c r="I24" s="61">
        <f t="shared" si="4"/>
        <v>2.9945991599999999</v>
      </c>
      <c r="J24" s="61">
        <f t="shared" si="5"/>
        <v>5.0400000000000007E-2</v>
      </c>
      <c r="K24" s="61">
        <f t="shared" si="6"/>
        <v>19.841269841269838</v>
      </c>
    </row>
    <row r="25" spans="1:17">
      <c r="A25" s="61">
        <v>11</v>
      </c>
      <c r="B25" s="61">
        <v>98</v>
      </c>
      <c r="C25" s="61">
        <f t="shared" si="0"/>
        <v>10</v>
      </c>
      <c r="D25" s="61">
        <v>16.600000000000001</v>
      </c>
      <c r="E25" s="71">
        <f t="shared" si="1"/>
        <v>216.31460000000004</v>
      </c>
      <c r="F25" s="61">
        <f t="shared" si="7"/>
        <v>1</v>
      </c>
      <c r="G25" s="61">
        <f t="shared" si="2"/>
        <v>14</v>
      </c>
      <c r="H25" s="61">
        <f t="shared" si="3"/>
        <v>10902.255840000003</v>
      </c>
      <c r="I25" s="61">
        <f t="shared" si="4"/>
        <v>10.902255840000004</v>
      </c>
      <c r="J25" s="61">
        <f t="shared" si="5"/>
        <v>5.0400000000000007E-2</v>
      </c>
      <c r="K25" s="61">
        <f t="shared" si="6"/>
        <v>19.841269841269838</v>
      </c>
    </row>
    <row r="26" spans="1:17">
      <c r="A26" s="61">
        <v>14</v>
      </c>
      <c r="B26" s="61">
        <v>98</v>
      </c>
      <c r="C26" s="61">
        <f t="shared" si="0"/>
        <v>10</v>
      </c>
      <c r="D26" s="61">
        <v>18.8</v>
      </c>
      <c r="E26" s="71">
        <f t="shared" si="1"/>
        <v>277.45040000000006</v>
      </c>
      <c r="F26" s="61">
        <f t="shared" si="7"/>
        <v>1</v>
      </c>
      <c r="G26" s="61">
        <f t="shared" si="2"/>
        <v>14</v>
      </c>
      <c r="H26" s="61">
        <f t="shared" si="3"/>
        <v>13983.500160000003</v>
      </c>
      <c r="I26" s="61">
        <f t="shared" si="4"/>
        <v>13.983500160000004</v>
      </c>
      <c r="J26" s="61">
        <f t="shared" si="5"/>
        <v>5.04E-2</v>
      </c>
      <c r="K26" s="61">
        <f t="shared" si="6"/>
        <v>19.841269841269842</v>
      </c>
    </row>
    <row r="27" spans="1:17">
      <c r="A27" s="61" t="s">
        <v>250</v>
      </c>
      <c r="B27" s="61">
        <v>98</v>
      </c>
      <c r="C27" s="61">
        <f t="shared" si="0"/>
        <v>10</v>
      </c>
      <c r="D27" s="61">
        <v>5</v>
      </c>
      <c r="E27" s="61">
        <f t="shared" si="1"/>
        <v>19.625</v>
      </c>
      <c r="F27" s="61">
        <f t="shared" si="7"/>
        <v>1</v>
      </c>
      <c r="G27" s="61">
        <f t="shared" si="2"/>
        <v>14</v>
      </c>
      <c r="H27" s="61">
        <f t="shared" si="3"/>
        <v>989.1</v>
      </c>
      <c r="I27" s="61">
        <f t="shared" si="4"/>
        <v>0.98909999999999998</v>
      </c>
      <c r="J27" s="61">
        <f t="shared" si="5"/>
        <v>5.04E-2</v>
      </c>
      <c r="K27" s="61">
        <f t="shared" si="6"/>
        <v>19.841269841269842</v>
      </c>
    </row>
    <row r="28" spans="1:17">
      <c r="A28" s="61">
        <v>3.2</v>
      </c>
      <c r="B28" s="61">
        <v>98</v>
      </c>
      <c r="C28" s="61">
        <f t="shared" si="0"/>
        <v>10</v>
      </c>
      <c r="D28" s="61">
        <v>9</v>
      </c>
      <c r="E28" s="71">
        <f t="shared" si="1"/>
        <v>63.585000000000001</v>
      </c>
      <c r="F28" s="61">
        <f t="shared" si="7"/>
        <v>1</v>
      </c>
      <c r="G28" s="61">
        <f t="shared" si="2"/>
        <v>14</v>
      </c>
      <c r="H28" s="61">
        <f t="shared" si="3"/>
        <v>3204.6840000000002</v>
      </c>
      <c r="I28" s="61">
        <f t="shared" si="4"/>
        <v>3.2046840000000003</v>
      </c>
      <c r="J28" s="61">
        <f t="shared" si="5"/>
        <v>5.0400000000000007E-2</v>
      </c>
      <c r="K28" s="61">
        <f t="shared" si="6"/>
        <v>19.841269841269838</v>
      </c>
    </row>
    <row r="29" spans="1:17">
      <c r="A29" s="61">
        <v>6</v>
      </c>
      <c r="B29" s="61">
        <v>98</v>
      </c>
      <c r="C29" s="61">
        <f t="shared" si="0"/>
        <v>10</v>
      </c>
      <c r="D29" s="61">
        <v>12.4</v>
      </c>
      <c r="E29" s="71">
        <f t="shared" si="1"/>
        <v>120.70160000000001</v>
      </c>
      <c r="F29" s="61">
        <f t="shared" si="7"/>
        <v>1</v>
      </c>
      <c r="G29" s="61">
        <f t="shared" si="2"/>
        <v>14</v>
      </c>
      <c r="H29" s="61">
        <f t="shared" si="3"/>
        <v>6083.3606400000008</v>
      </c>
      <c r="I29" s="61">
        <f t="shared" si="4"/>
        <v>6.0833606400000004</v>
      </c>
      <c r="J29" s="61">
        <f t="shared" si="5"/>
        <v>5.04E-2</v>
      </c>
      <c r="K29" s="61">
        <f t="shared" si="6"/>
        <v>19.841269841269842</v>
      </c>
    </row>
    <row r="30" spans="1:17">
      <c r="A30" s="61">
        <v>9.5</v>
      </c>
      <c r="B30" s="61">
        <v>98</v>
      </c>
      <c r="C30" s="61">
        <f t="shared" si="0"/>
        <v>10</v>
      </c>
      <c r="D30" s="61">
        <v>15</v>
      </c>
      <c r="E30" s="71">
        <f t="shared" si="1"/>
        <v>176.625</v>
      </c>
      <c r="F30" s="61">
        <f t="shared" si="7"/>
        <v>1</v>
      </c>
      <c r="G30" s="61">
        <f t="shared" si="2"/>
        <v>14</v>
      </c>
      <c r="H30" s="61">
        <f t="shared" si="3"/>
        <v>8901.9</v>
      </c>
      <c r="I30" s="61">
        <f t="shared" si="4"/>
        <v>8.9018999999999995</v>
      </c>
      <c r="J30" s="61">
        <f t="shared" si="5"/>
        <v>5.04E-2</v>
      </c>
      <c r="K30" s="61">
        <f t="shared" si="6"/>
        <v>19.841269841269842</v>
      </c>
      <c r="Q30" s="61" t="s">
        <v>249</v>
      </c>
    </row>
    <row r="33" spans="1:16">
      <c r="A33" s="61" t="s">
        <v>248</v>
      </c>
    </row>
    <row r="35" spans="1:16">
      <c r="A35" s="61" t="s">
        <v>247</v>
      </c>
      <c r="I35" s="61" t="s">
        <v>246</v>
      </c>
      <c r="J35" s="61">
        <f t="shared" ref="J35:P35" si="8">J37*J37*3.14/4/20</f>
        <v>6.0350800000000007</v>
      </c>
      <c r="K35" s="61">
        <f t="shared" si="8"/>
        <v>10.173992500000001</v>
      </c>
      <c r="L35" s="61">
        <f t="shared" si="8"/>
        <v>18.312480000000001</v>
      </c>
      <c r="M35" s="61">
        <f t="shared" si="8"/>
        <v>29.038720000000001</v>
      </c>
      <c r="N35" s="61">
        <f t="shared" si="8"/>
        <v>50.585792500000004</v>
      </c>
      <c r="O35" s="61">
        <f t="shared" si="8"/>
        <v>68.579170000000005</v>
      </c>
      <c r="P35" s="61">
        <f t="shared" si="8"/>
        <v>109.8375925</v>
      </c>
    </row>
    <row r="36" spans="1:16">
      <c r="I36" s="11" t="s">
        <v>81</v>
      </c>
      <c r="J36" s="12" t="s">
        <v>82</v>
      </c>
      <c r="K36" s="12" t="s">
        <v>83</v>
      </c>
      <c r="L36" s="12" t="s">
        <v>84</v>
      </c>
      <c r="M36" s="12" t="s">
        <v>85</v>
      </c>
      <c r="N36" s="12" t="s">
        <v>86</v>
      </c>
      <c r="O36" s="12" t="s">
        <v>87</v>
      </c>
      <c r="P36" s="12" t="s">
        <v>88</v>
      </c>
    </row>
    <row r="37" spans="1:16">
      <c r="I37" s="11"/>
      <c r="J37" s="11">
        <v>12.4</v>
      </c>
      <c r="K37" s="11">
        <v>16.100000000000001</v>
      </c>
      <c r="L37" s="11">
        <v>21.6</v>
      </c>
      <c r="M37" s="11">
        <v>27.2</v>
      </c>
      <c r="N37" s="11">
        <v>35.9</v>
      </c>
      <c r="O37" s="11">
        <v>41.8</v>
      </c>
      <c r="P37" s="11">
        <v>52.9</v>
      </c>
    </row>
    <row r="38" spans="1:16">
      <c r="A38" s="71" t="s">
        <v>245</v>
      </c>
      <c r="I38" s="2" t="s">
        <v>79</v>
      </c>
      <c r="J38" s="1"/>
      <c r="K38" s="1"/>
      <c r="L38" s="1"/>
      <c r="M38" s="1"/>
      <c r="N38" s="1"/>
      <c r="O38" s="1"/>
      <c r="P38" s="1"/>
    </row>
    <row r="39" spans="1:16" ht="15.75" thickBot="1">
      <c r="C39" s="61">
        <v>1.5</v>
      </c>
      <c r="I39" s="2">
        <v>10</v>
      </c>
      <c r="J39" s="2">
        <v>13</v>
      </c>
      <c r="K39" s="2">
        <v>16</v>
      </c>
      <c r="L39" s="2">
        <v>20</v>
      </c>
      <c r="M39" s="2">
        <v>25</v>
      </c>
      <c r="N39" s="2">
        <v>32</v>
      </c>
      <c r="O39" s="1"/>
      <c r="P39" s="1"/>
    </row>
    <row r="40" spans="1:16">
      <c r="A40" s="14" t="s">
        <v>38</v>
      </c>
      <c r="B40" s="15"/>
      <c r="C40" s="15"/>
      <c r="D40" s="15"/>
      <c r="E40" s="15" t="s">
        <v>37</v>
      </c>
      <c r="J40" s="2" t="s">
        <v>171</v>
      </c>
      <c r="K40" s="1"/>
      <c r="L40" s="1"/>
    </row>
    <row r="41" spans="1:16" ht="15.75" thickBot="1">
      <c r="A41" s="17" t="s">
        <v>31</v>
      </c>
      <c r="B41" s="18"/>
      <c r="C41" s="18" t="s">
        <v>30</v>
      </c>
      <c r="D41" s="18"/>
      <c r="E41" s="18" t="s">
        <v>29</v>
      </c>
      <c r="J41" s="1" t="s">
        <v>172</v>
      </c>
      <c r="K41" s="8" t="s">
        <v>2</v>
      </c>
      <c r="L41" s="9" t="s">
        <v>1</v>
      </c>
    </row>
    <row r="42" spans="1:16">
      <c r="A42" s="30" t="s">
        <v>18</v>
      </c>
      <c r="B42" s="31" t="s">
        <v>17</v>
      </c>
      <c r="C42" s="32" t="s">
        <v>16</v>
      </c>
      <c r="D42" s="20" t="s">
        <v>15</v>
      </c>
      <c r="E42" s="20" t="s">
        <v>14</v>
      </c>
      <c r="F42" s="95" t="s">
        <v>244</v>
      </c>
      <c r="G42" s="61" t="s">
        <v>243</v>
      </c>
      <c r="J42" s="1">
        <f>K42/1000/SQRT(L42/104)</f>
        <v>1</v>
      </c>
      <c r="K42" s="3">
        <v>1000</v>
      </c>
      <c r="L42" s="3">
        <v>104</v>
      </c>
    </row>
    <row r="43" spans="1:16" ht="15.75" thickBot="1">
      <c r="A43" s="40" t="s">
        <v>4</v>
      </c>
      <c r="B43" s="41"/>
      <c r="C43" s="36"/>
      <c r="D43" s="37"/>
      <c r="E43" s="37"/>
      <c r="H43" s="61" t="s">
        <v>242</v>
      </c>
      <c r="J43" s="1">
        <f>K43/1000/SQRT(L43/104)</f>
        <v>8.9</v>
      </c>
      <c r="K43" s="61">
        <v>8900</v>
      </c>
      <c r="L43" s="61">
        <v>104</v>
      </c>
    </row>
    <row r="44" spans="1:16">
      <c r="A44" s="3">
        <v>35.9</v>
      </c>
      <c r="B44" s="51">
        <v>0.3</v>
      </c>
      <c r="C44" s="3">
        <v>0.1</v>
      </c>
      <c r="D44" s="47">
        <f t="shared" ref="D44:D53" si="9">B44/(A44*A44*3.14/4000)</f>
        <v>0.29652594648981723</v>
      </c>
      <c r="E44" s="47">
        <f t="shared" ref="E44:E53" si="10">C44*26500/A44^1.27*D44^1.82</f>
        <v>3.0720624484840418</v>
      </c>
      <c r="F44" s="1">
        <f t="shared" ref="F44:F53" si="11">B44*3600/1000/SQRT(E44/1000/104)</f>
        <v>198.7125997597023</v>
      </c>
      <c r="G44" s="61">
        <f t="shared" ref="G44:G53" si="12">20*F44</f>
        <v>3974.2519951940458</v>
      </c>
      <c r="H44" s="61">
        <f t="shared" ref="H44:H53" si="13">SQRT(G44*4/3.14)</f>
        <v>71.152943685779093</v>
      </c>
      <c r="I44" s="61">
        <f t="shared" ref="I44:I53" si="14">A44</f>
        <v>35.9</v>
      </c>
      <c r="O44" s="61">
        <f t="shared" ref="O44:O52" si="15">G44/F44</f>
        <v>20</v>
      </c>
    </row>
    <row r="45" spans="1:16">
      <c r="A45" s="93">
        <f t="shared" ref="A45:A53" si="16">A44</f>
        <v>35.9</v>
      </c>
      <c r="B45" s="94">
        <f t="shared" ref="B45:B53" si="17">B44</f>
        <v>0.3</v>
      </c>
      <c r="C45" s="93">
        <f t="shared" ref="C45:C53" si="18">C44*C$39</f>
        <v>0.15000000000000002</v>
      </c>
      <c r="D45" s="47">
        <f t="shared" si="9"/>
        <v>0.29652594648981723</v>
      </c>
      <c r="E45" s="47">
        <f t="shared" si="10"/>
        <v>4.6080936727260626</v>
      </c>
      <c r="F45" s="1">
        <f t="shared" si="11"/>
        <v>162.2481582910566</v>
      </c>
      <c r="G45" s="61">
        <f t="shared" si="12"/>
        <v>3244.963165821132</v>
      </c>
      <c r="H45" s="61">
        <f t="shared" si="13"/>
        <v>64.293942477208446</v>
      </c>
      <c r="I45" s="61">
        <f t="shared" si="14"/>
        <v>35.9</v>
      </c>
      <c r="K45" s="71" t="s">
        <v>176</v>
      </c>
      <c r="L45" s="71" t="s">
        <v>177</v>
      </c>
      <c r="M45" s="71" t="s">
        <v>178</v>
      </c>
      <c r="N45" s="1"/>
      <c r="O45" s="61">
        <f t="shared" si="15"/>
        <v>20</v>
      </c>
    </row>
    <row r="46" spans="1:16">
      <c r="A46" s="93">
        <f t="shared" si="16"/>
        <v>35.9</v>
      </c>
      <c r="B46" s="94">
        <f t="shared" si="17"/>
        <v>0.3</v>
      </c>
      <c r="C46" s="93">
        <f t="shared" si="18"/>
        <v>0.22500000000000003</v>
      </c>
      <c r="D46" s="47">
        <f t="shared" si="9"/>
        <v>0.29652594648981723</v>
      </c>
      <c r="E46" s="47">
        <f t="shared" si="10"/>
        <v>6.9121405090890944</v>
      </c>
      <c r="F46" s="1">
        <f t="shared" si="11"/>
        <v>132.47506650646818</v>
      </c>
      <c r="G46" s="61">
        <f t="shared" si="12"/>
        <v>2649.5013301293639</v>
      </c>
      <c r="H46" s="61">
        <f t="shared" si="13"/>
        <v>58.096135242381663</v>
      </c>
      <c r="I46" s="61">
        <f t="shared" si="14"/>
        <v>35.9</v>
      </c>
      <c r="K46" s="70">
        <v>20</v>
      </c>
      <c r="L46" s="70">
        <v>20</v>
      </c>
      <c r="M46" s="61">
        <f>4*K46*L46/1000</f>
        <v>1.6</v>
      </c>
      <c r="N46" s="2" t="s">
        <v>179</v>
      </c>
      <c r="O46" s="61">
        <f t="shared" si="15"/>
        <v>20</v>
      </c>
    </row>
    <row r="47" spans="1:16">
      <c r="A47" s="93">
        <f t="shared" si="16"/>
        <v>35.9</v>
      </c>
      <c r="B47" s="94">
        <f t="shared" si="17"/>
        <v>0.3</v>
      </c>
      <c r="C47" s="93">
        <f t="shared" si="18"/>
        <v>0.33750000000000002</v>
      </c>
      <c r="D47" s="47">
        <f t="shared" si="9"/>
        <v>0.29652594648981723</v>
      </c>
      <c r="E47" s="47">
        <f t="shared" si="10"/>
        <v>10.368210763633641</v>
      </c>
      <c r="F47" s="1">
        <f t="shared" si="11"/>
        <v>108.1654388607044</v>
      </c>
      <c r="G47" s="61">
        <f t="shared" si="12"/>
        <v>2163.308777214088</v>
      </c>
      <c r="H47" s="61">
        <f t="shared" si="13"/>
        <v>52.495784207004583</v>
      </c>
      <c r="I47" s="61">
        <f t="shared" si="14"/>
        <v>35.9</v>
      </c>
      <c r="O47" s="61">
        <f t="shared" si="15"/>
        <v>20</v>
      </c>
    </row>
    <row r="48" spans="1:16">
      <c r="A48" s="93">
        <f t="shared" si="16"/>
        <v>35.9</v>
      </c>
      <c r="B48" s="94">
        <f t="shared" si="17"/>
        <v>0.3</v>
      </c>
      <c r="C48" s="93">
        <f t="shared" si="18"/>
        <v>0.50625000000000009</v>
      </c>
      <c r="D48" s="47">
        <f t="shared" si="9"/>
        <v>0.29652594648981723</v>
      </c>
      <c r="E48" s="47">
        <f t="shared" si="10"/>
        <v>15.552316145450462</v>
      </c>
      <c r="F48" s="1">
        <f t="shared" si="11"/>
        <v>88.316711004312126</v>
      </c>
      <c r="G48" s="61">
        <f t="shared" si="12"/>
        <v>1766.3342200862426</v>
      </c>
      <c r="H48" s="61">
        <f t="shared" si="13"/>
        <v>47.43529579051939</v>
      </c>
      <c r="I48" s="61">
        <f t="shared" si="14"/>
        <v>35.9</v>
      </c>
      <c r="O48" s="61">
        <f t="shared" si="15"/>
        <v>20</v>
      </c>
    </row>
    <row r="49" spans="1:15">
      <c r="A49" s="93">
        <f t="shared" si="16"/>
        <v>35.9</v>
      </c>
      <c r="B49" s="94">
        <f t="shared" si="17"/>
        <v>0.3</v>
      </c>
      <c r="C49" s="93">
        <f t="shared" si="18"/>
        <v>0.75937500000000013</v>
      </c>
      <c r="D49" s="47">
        <f t="shared" si="9"/>
        <v>0.29652594648981723</v>
      </c>
      <c r="E49" s="47">
        <f t="shared" si="10"/>
        <v>23.328474218175696</v>
      </c>
      <c r="F49" s="1">
        <f t="shared" si="11"/>
        <v>72.110292573802937</v>
      </c>
      <c r="G49" s="61">
        <f t="shared" si="12"/>
        <v>1442.2058514760588</v>
      </c>
      <c r="H49" s="61">
        <f t="shared" si="13"/>
        <v>42.862628318138967</v>
      </c>
      <c r="I49" s="61">
        <f t="shared" si="14"/>
        <v>35.9</v>
      </c>
      <c r="O49" s="61">
        <f t="shared" si="15"/>
        <v>20</v>
      </c>
    </row>
    <row r="50" spans="1:15">
      <c r="A50" s="93">
        <f t="shared" si="16"/>
        <v>35.9</v>
      </c>
      <c r="B50" s="94">
        <f t="shared" si="17"/>
        <v>0.3</v>
      </c>
      <c r="C50" s="93">
        <f t="shared" si="18"/>
        <v>1.1390625000000001</v>
      </c>
      <c r="D50" s="47">
        <f t="shared" si="9"/>
        <v>0.29652594648981723</v>
      </c>
      <c r="E50" s="47">
        <f t="shared" si="10"/>
        <v>34.992711327263542</v>
      </c>
      <c r="F50" s="1">
        <f t="shared" si="11"/>
        <v>58.877807336208086</v>
      </c>
      <c r="G50" s="61">
        <f t="shared" si="12"/>
        <v>1177.5561467241616</v>
      </c>
      <c r="H50" s="61">
        <f t="shared" si="13"/>
        <v>38.730756828254442</v>
      </c>
      <c r="I50" s="61">
        <f t="shared" si="14"/>
        <v>35.9</v>
      </c>
      <c r="O50" s="61">
        <f t="shared" si="15"/>
        <v>20</v>
      </c>
    </row>
    <row r="51" spans="1:15">
      <c r="A51" s="93">
        <f t="shared" si="16"/>
        <v>35.9</v>
      </c>
      <c r="B51" s="94">
        <f t="shared" si="17"/>
        <v>0.3</v>
      </c>
      <c r="C51" s="93">
        <f t="shared" si="18"/>
        <v>1.7085937500000001</v>
      </c>
      <c r="D51" s="47">
        <f t="shared" si="9"/>
        <v>0.29652594648981723</v>
      </c>
      <c r="E51" s="47">
        <f t="shared" si="10"/>
        <v>52.489066990895303</v>
      </c>
      <c r="F51" s="1">
        <f t="shared" si="11"/>
        <v>48.073528382535287</v>
      </c>
      <c r="G51" s="61">
        <f t="shared" si="12"/>
        <v>961.47056765070579</v>
      </c>
      <c r="H51" s="61">
        <f t="shared" si="13"/>
        <v>34.997189471336391</v>
      </c>
      <c r="I51" s="61">
        <f t="shared" si="14"/>
        <v>35.9</v>
      </c>
      <c r="O51" s="61">
        <f t="shared" si="15"/>
        <v>20</v>
      </c>
    </row>
    <row r="52" spans="1:15">
      <c r="A52" s="93">
        <f t="shared" si="16"/>
        <v>35.9</v>
      </c>
      <c r="B52" s="94">
        <f t="shared" si="17"/>
        <v>0.3</v>
      </c>
      <c r="C52" s="93">
        <f t="shared" si="18"/>
        <v>2.5628906250000001</v>
      </c>
      <c r="D52" s="47">
        <f t="shared" si="9"/>
        <v>0.29652594648981723</v>
      </c>
      <c r="E52" s="47">
        <f t="shared" si="10"/>
        <v>78.733600486342951</v>
      </c>
      <c r="F52" s="1">
        <f t="shared" si="11"/>
        <v>39.251871557472064</v>
      </c>
      <c r="G52" s="61">
        <f t="shared" si="12"/>
        <v>785.03743114944132</v>
      </c>
      <c r="H52" s="61">
        <f t="shared" si="13"/>
        <v>31.623530527012932</v>
      </c>
      <c r="I52" s="61">
        <f t="shared" si="14"/>
        <v>35.9</v>
      </c>
      <c r="O52" s="61">
        <f t="shared" si="15"/>
        <v>20</v>
      </c>
    </row>
    <row r="53" spans="1:15">
      <c r="A53" s="93">
        <f t="shared" si="16"/>
        <v>35.9</v>
      </c>
      <c r="B53" s="94">
        <f t="shared" si="17"/>
        <v>0.3</v>
      </c>
      <c r="C53" s="93">
        <f t="shared" si="18"/>
        <v>3.8443359375000004</v>
      </c>
      <c r="D53" s="47">
        <f t="shared" si="9"/>
        <v>0.29652594648981723</v>
      </c>
      <c r="E53" s="47">
        <f t="shared" si="10"/>
        <v>118.10040072951445</v>
      </c>
      <c r="F53" s="1">
        <f t="shared" si="11"/>
        <v>32.049018921690191</v>
      </c>
      <c r="G53" s="61">
        <f t="shared" si="12"/>
        <v>640.98037843380382</v>
      </c>
      <c r="H53" s="61">
        <f t="shared" si="13"/>
        <v>28.575085545425974</v>
      </c>
      <c r="I53" s="61">
        <f t="shared" si="14"/>
        <v>35.9</v>
      </c>
      <c r="O53" s="61">
        <f>G53/F53</f>
        <v>20</v>
      </c>
    </row>
    <row r="54" spans="1:15">
      <c r="K54" s="71" t="s">
        <v>264</v>
      </c>
    </row>
    <row r="55" spans="1:15">
      <c r="A55" s="92" t="s">
        <v>241</v>
      </c>
      <c r="B55" s="92" t="s">
        <v>240</v>
      </c>
      <c r="C55" s="92" t="s">
        <v>17</v>
      </c>
      <c r="D55" s="92" t="s">
        <v>239</v>
      </c>
      <c r="F55" s="91" t="s">
        <v>238</v>
      </c>
      <c r="K55" s="71" t="s">
        <v>265</v>
      </c>
    </row>
    <row r="56" spans="1:15">
      <c r="A56" s="70">
        <v>20</v>
      </c>
      <c r="B56" s="70">
        <v>20</v>
      </c>
      <c r="C56" s="61">
        <f>A56/B56/4.2</f>
        <v>0.23809523809523808</v>
      </c>
      <c r="D56" s="61">
        <f>C56*4.2*B56</f>
        <v>20</v>
      </c>
    </row>
    <row r="57" spans="1:15">
      <c r="L57" s="190" t="s">
        <v>550</v>
      </c>
    </row>
    <row r="58" spans="1:15">
      <c r="L58" s="190" t="s">
        <v>15</v>
      </c>
      <c r="M58" s="190" t="s">
        <v>551</v>
      </c>
      <c r="N58" s="190" t="s">
        <v>178</v>
      </c>
      <c r="O58" s="190" t="s">
        <v>552</v>
      </c>
    </row>
    <row r="59" spans="1:15">
      <c r="L59" s="154">
        <v>1</v>
      </c>
      <c r="M59" s="61">
        <f>L59*L59/20</f>
        <v>0.05</v>
      </c>
      <c r="N59" s="61">
        <f>10*M59</f>
        <v>0.5</v>
      </c>
      <c r="O59" s="61">
        <f>0.2*N59</f>
        <v>0.1</v>
      </c>
    </row>
    <row r="60" spans="1:15">
      <c r="A60" s="61">
        <v>20</v>
      </c>
      <c r="C60" s="61">
        <v>14</v>
      </c>
    </row>
    <row r="61" spans="1:15">
      <c r="A61" s="61">
        <v>15</v>
      </c>
      <c r="C61" s="61">
        <v>6</v>
      </c>
    </row>
    <row r="62" spans="1:15">
      <c r="A62" s="61">
        <v>60</v>
      </c>
      <c r="C62" s="61">
        <f>C60/C61</f>
        <v>2.3333333333333335</v>
      </c>
    </row>
    <row r="63" spans="1:15">
      <c r="A63" s="61">
        <v>110</v>
      </c>
    </row>
    <row r="64" spans="1:15">
      <c r="A64" s="61">
        <v>79</v>
      </c>
    </row>
    <row r="65" spans="1:1">
      <c r="A65" s="61">
        <v>20</v>
      </c>
    </row>
    <row r="66" spans="1:1">
      <c r="A66" s="61">
        <v>60</v>
      </c>
    </row>
    <row r="67" spans="1:1">
      <c r="A67" s="61">
        <f>SUM(A60:A66)</f>
        <v>364</v>
      </c>
    </row>
    <row r="69" spans="1:1">
      <c r="A69" s="61" t="s">
        <v>237</v>
      </c>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dimension ref="A1:N58"/>
  <sheetViews>
    <sheetView workbookViewId="0">
      <selection activeCell="K13" sqref="K13"/>
    </sheetView>
  </sheetViews>
  <sheetFormatPr defaultRowHeight="15"/>
  <sheetData>
    <row r="1" spans="1:14">
      <c r="A1" s="269" t="s">
        <v>972</v>
      </c>
      <c r="B1" s="269"/>
      <c r="C1" s="269"/>
      <c r="D1" s="86" t="s">
        <v>973</v>
      </c>
    </row>
    <row r="2" spans="1:14">
      <c r="A2" s="270" t="s">
        <v>974</v>
      </c>
      <c r="B2" s="269"/>
      <c r="C2" s="269"/>
      <c r="D2" s="269"/>
    </row>
    <row r="3" spans="1:14">
      <c r="A3" s="271"/>
      <c r="B3" s="269"/>
      <c r="C3" s="269"/>
      <c r="D3" s="269"/>
    </row>
    <row r="4" spans="1:14">
      <c r="A4" s="271" t="s">
        <v>975</v>
      </c>
      <c r="B4" s="269"/>
      <c r="C4" s="269"/>
      <c r="D4" s="269"/>
    </row>
    <row r="5" spans="1:14">
      <c r="A5" s="271" t="s">
        <v>976</v>
      </c>
      <c r="B5" s="269"/>
      <c r="C5" s="269"/>
      <c r="D5" s="269"/>
    </row>
    <row r="6" spans="1:14">
      <c r="A6" s="271" t="s">
        <v>977</v>
      </c>
      <c r="B6" s="269"/>
      <c r="C6" s="269"/>
      <c r="D6" s="269"/>
    </row>
    <row r="7" spans="1:14">
      <c r="A7" s="271" t="s">
        <v>978</v>
      </c>
      <c r="B7" s="269"/>
      <c r="C7" s="269"/>
      <c r="D7" s="269"/>
    </row>
    <row r="8" spans="1:14">
      <c r="A8" s="271" t="s">
        <v>979</v>
      </c>
      <c r="B8" s="269"/>
      <c r="C8" s="269"/>
      <c r="D8" s="269"/>
    </row>
    <row r="9" spans="1:14">
      <c r="L9" s="269" t="s">
        <v>997</v>
      </c>
    </row>
    <row r="10" spans="1:14">
      <c r="A10" s="86" t="s">
        <v>980</v>
      </c>
      <c r="B10" s="269"/>
      <c r="C10" s="269"/>
      <c r="D10" s="269"/>
      <c r="L10" s="269" t="s">
        <v>16</v>
      </c>
      <c r="M10" s="269" t="s">
        <v>124</v>
      </c>
    </row>
    <row r="11" spans="1:14">
      <c r="G11" s="269"/>
      <c r="L11" s="269">
        <v>1.55E-2</v>
      </c>
      <c r="M11">
        <f>L11*3.14*2</f>
        <v>9.734000000000001E-2</v>
      </c>
      <c r="N11" s="269" t="s">
        <v>998</v>
      </c>
    </row>
    <row r="12" spans="1:14">
      <c r="A12" s="272" t="s">
        <v>981</v>
      </c>
      <c r="B12" s="272" t="s">
        <v>982</v>
      </c>
      <c r="C12" s="269"/>
      <c r="D12" s="269"/>
      <c r="M12" s="269">
        <v>5.0000000000000001E-4</v>
      </c>
      <c r="N12" s="269" t="s">
        <v>999</v>
      </c>
    </row>
    <row r="13" spans="1:14">
      <c r="A13" s="269">
        <v>125</v>
      </c>
      <c r="B13" s="269">
        <v>1000</v>
      </c>
      <c r="C13" s="269" t="s">
        <v>983</v>
      </c>
      <c r="D13" s="269"/>
      <c r="M13" s="154">
        <v>40</v>
      </c>
      <c r="N13" s="269" t="s">
        <v>981</v>
      </c>
    </row>
    <row r="14" spans="1:14">
      <c r="A14" s="269">
        <v>50</v>
      </c>
      <c r="B14" s="269">
        <v>400</v>
      </c>
      <c r="C14" s="269" t="s">
        <v>984</v>
      </c>
      <c r="D14" s="269"/>
      <c r="M14">
        <f>M13*M11/M12/1000</f>
        <v>7.7871999999999995</v>
      </c>
      <c r="N14" s="269" t="s">
        <v>1000</v>
      </c>
    </row>
    <row r="15" spans="1:14">
      <c r="A15" s="269">
        <v>40</v>
      </c>
      <c r="B15" s="269"/>
      <c r="C15" s="269" t="s">
        <v>18</v>
      </c>
      <c r="D15" s="269"/>
      <c r="M15">
        <f>1/M14</f>
        <v>0.12841586192726526</v>
      </c>
      <c r="N15" s="269" t="s">
        <v>1001</v>
      </c>
    </row>
    <row r="16" spans="1:14">
      <c r="A16" s="269">
        <v>25</v>
      </c>
      <c r="B16" s="269">
        <v>200</v>
      </c>
      <c r="C16" s="269" t="s">
        <v>985</v>
      </c>
      <c r="D16" s="269"/>
      <c r="M16">
        <f>M15*10</f>
        <v>1.2841586192726526</v>
      </c>
      <c r="N16" s="269" t="s">
        <v>1002</v>
      </c>
    </row>
    <row r="17" spans="1:14">
      <c r="A17" s="269">
        <v>0.3</v>
      </c>
      <c r="B17" s="269"/>
      <c r="C17" s="269" t="s">
        <v>986</v>
      </c>
      <c r="D17" s="269"/>
      <c r="E17" s="269"/>
      <c r="F17" s="269"/>
      <c r="G17" s="269"/>
      <c r="M17">
        <f>10*M16</f>
        <v>12.841586192726526</v>
      </c>
      <c r="N17" s="269" t="s">
        <v>1003</v>
      </c>
    </row>
    <row r="18" spans="1:14">
      <c r="A18" s="269">
        <v>0.05</v>
      </c>
      <c r="B18" s="269"/>
      <c r="C18" s="269"/>
      <c r="D18" s="269"/>
      <c r="E18" s="269"/>
      <c r="F18" s="269"/>
      <c r="G18" s="269"/>
    </row>
    <row r="20" spans="1:14">
      <c r="A20" s="86" t="s">
        <v>987</v>
      </c>
      <c r="B20" s="269"/>
      <c r="C20" s="269"/>
      <c r="D20" s="269"/>
      <c r="E20" s="269"/>
      <c r="F20" s="269"/>
      <c r="G20" s="269"/>
    </row>
    <row r="22" spans="1:14" ht="19.5">
      <c r="A22" s="273" t="s">
        <v>988</v>
      </c>
      <c r="B22" s="269"/>
      <c r="C22" s="269"/>
      <c r="D22" s="269"/>
      <c r="E22" s="269"/>
      <c r="F22" s="269"/>
      <c r="G22" s="269"/>
    </row>
    <row r="23" spans="1:14" ht="19.5">
      <c r="A23" s="273"/>
      <c r="B23" s="269"/>
      <c r="C23" s="269"/>
      <c r="D23" s="269"/>
      <c r="E23" s="269"/>
      <c r="F23" s="269"/>
      <c r="G23" s="269"/>
    </row>
    <row r="24" spans="1:14">
      <c r="A24" s="274" t="s">
        <v>19</v>
      </c>
      <c r="B24" s="269">
        <v>20</v>
      </c>
      <c r="C24" s="269">
        <v>21</v>
      </c>
      <c r="D24" s="269">
        <v>22</v>
      </c>
      <c r="E24" s="269">
        <v>25</v>
      </c>
      <c r="F24" s="269"/>
      <c r="G24" s="269" t="s">
        <v>989</v>
      </c>
    </row>
    <row r="25" spans="1:14" ht="15.75">
      <c r="A25" s="276" t="s">
        <v>990</v>
      </c>
      <c r="B25" s="276">
        <v>127.8</v>
      </c>
      <c r="C25" s="276">
        <v>130.5</v>
      </c>
      <c r="D25" s="276">
        <v>133.19999999999999</v>
      </c>
      <c r="E25" s="276">
        <v>141.30000000000001</v>
      </c>
      <c r="F25" s="269"/>
      <c r="G25" s="269"/>
    </row>
    <row r="26" spans="1:14" ht="18.75">
      <c r="A26" s="275"/>
      <c r="B26" s="269"/>
      <c r="C26" s="277">
        <v>2.7000000000000028</v>
      </c>
      <c r="D26" s="277">
        <v>2.6999999999999886</v>
      </c>
      <c r="E26" s="277">
        <v>2.7000000000000077</v>
      </c>
      <c r="F26" s="269"/>
      <c r="G26" s="269"/>
    </row>
    <row r="27" spans="1:14" ht="19.5">
      <c r="A27" s="273"/>
      <c r="B27" s="269"/>
      <c r="C27" s="269"/>
      <c r="D27" s="269"/>
      <c r="E27" s="269"/>
      <c r="F27" s="269"/>
      <c r="G27" s="269"/>
    </row>
    <row r="28" spans="1:14" ht="15.75">
      <c r="A28" s="278" t="s">
        <v>991</v>
      </c>
      <c r="B28" s="269">
        <v>1278</v>
      </c>
      <c r="C28" s="269"/>
      <c r="D28" s="269"/>
      <c r="E28" s="269">
        <v>1413</v>
      </c>
      <c r="F28" s="269"/>
      <c r="G28" s="269"/>
    </row>
    <row r="29" spans="1:14" ht="19.5">
      <c r="A29" s="273"/>
      <c r="B29" s="269"/>
      <c r="C29" s="269"/>
      <c r="D29" s="269"/>
      <c r="E29" s="269"/>
      <c r="F29" s="269"/>
      <c r="G29" s="269"/>
    </row>
    <row r="30" spans="1:14" ht="19.5">
      <c r="A30" s="273"/>
      <c r="B30" s="269"/>
      <c r="C30" s="269"/>
      <c r="D30" s="269"/>
      <c r="E30" s="269"/>
      <c r="F30" s="269"/>
      <c r="G30" s="269"/>
    </row>
    <row r="31" spans="1:14">
      <c r="A31" s="274"/>
      <c r="B31" s="269"/>
      <c r="C31" s="269"/>
      <c r="D31" s="269"/>
      <c r="E31" s="269"/>
      <c r="F31" s="269"/>
      <c r="G31" s="269"/>
    </row>
    <row r="32" spans="1:14" ht="19.5">
      <c r="A32" s="273"/>
      <c r="B32" s="269"/>
      <c r="C32" s="269" t="s">
        <v>992</v>
      </c>
      <c r="D32" s="269"/>
      <c r="E32" s="269"/>
      <c r="F32" s="269"/>
      <c r="G32" s="269"/>
    </row>
    <row r="33" spans="1:4" ht="19.5">
      <c r="A33" s="273"/>
      <c r="B33" s="269"/>
      <c r="C33" s="269">
        <v>300</v>
      </c>
      <c r="D33" s="269"/>
    </row>
    <row r="34" spans="1:4" ht="19.5">
      <c r="A34" s="273"/>
      <c r="B34" s="269"/>
      <c r="C34" s="269">
        <v>150</v>
      </c>
      <c r="D34" s="269" t="s">
        <v>993</v>
      </c>
    </row>
    <row r="35" spans="1:4" ht="19.5">
      <c r="A35" s="273"/>
      <c r="B35" s="269"/>
      <c r="C35" s="269"/>
      <c r="D35" s="269"/>
    </row>
    <row r="36" spans="1:4" ht="19.5">
      <c r="A36" s="273"/>
      <c r="B36" s="269"/>
      <c r="C36" s="269"/>
      <c r="D36" s="269"/>
    </row>
    <row r="37" spans="1:4">
      <c r="A37" s="86" t="s">
        <v>994</v>
      </c>
      <c r="B37" s="269"/>
      <c r="C37" s="269"/>
      <c r="D37" s="269"/>
    </row>
    <row r="38" spans="1:4" ht="15.75" thickBot="1">
      <c r="A38" s="274"/>
      <c r="B38" s="269"/>
      <c r="C38" s="269"/>
      <c r="D38" s="269"/>
    </row>
    <row r="39" spans="1:4" ht="48" thickBot="1">
      <c r="A39" s="279" t="s">
        <v>995</v>
      </c>
      <c r="B39" s="280" t="s">
        <v>996</v>
      </c>
      <c r="C39" s="269"/>
      <c r="D39" s="269"/>
    </row>
    <row r="40" spans="1:4" ht="15.75">
      <c r="A40" s="281">
        <v>0</v>
      </c>
      <c r="B40" s="283">
        <v>3.5</v>
      </c>
      <c r="C40" s="269"/>
      <c r="D40" s="269"/>
    </row>
    <row r="41" spans="1:4" ht="15.75">
      <c r="A41" s="281">
        <v>0.2</v>
      </c>
      <c r="B41" s="283">
        <v>3.08</v>
      </c>
      <c r="C41" s="269"/>
      <c r="D41" s="269"/>
    </row>
    <row r="42" spans="1:4" ht="15.75">
      <c r="A42" s="281">
        <v>0.4</v>
      </c>
      <c r="B42" s="283">
        <v>2.66</v>
      </c>
      <c r="C42" s="269"/>
      <c r="D42" s="269"/>
    </row>
    <row r="43" spans="1:4" ht="15.75">
      <c r="A43" s="281">
        <v>0.6</v>
      </c>
      <c r="B43" s="283">
        <v>2.2599999999999998</v>
      </c>
      <c r="C43" s="269"/>
      <c r="D43" s="269"/>
    </row>
    <row r="44" spans="1:4" ht="15.75">
      <c r="A44" s="281">
        <v>0.8</v>
      </c>
      <c r="B44" s="283">
        <v>1.85</v>
      </c>
      <c r="C44" s="269"/>
      <c r="D44" s="269"/>
    </row>
    <row r="45" spans="1:4" ht="15.75">
      <c r="A45" s="281">
        <v>1</v>
      </c>
      <c r="B45" s="283">
        <v>1.49</v>
      </c>
      <c r="C45" s="269"/>
      <c r="D45" s="269"/>
    </row>
    <row r="46" spans="1:4" ht="15.75">
      <c r="A46" s="281">
        <v>1.2</v>
      </c>
      <c r="B46" s="283">
        <v>1.28</v>
      </c>
      <c r="C46" s="269"/>
      <c r="D46" s="269"/>
    </row>
    <row r="47" spans="1:4" ht="15.75">
      <c r="A47" s="281">
        <v>1.4</v>
      </c>
      <c r="B47" s="283">
        <v>1.31</v>
      </c>
      <c r="C47" s="269"/>
      <c r="D47" s="269"/>
    </row>
    <row r="48" spans="1:4" ht="15.75">
      <c r="A48" s="281">
        <v>1.6</v>
      </c>
      <c r="B48" s="283">
        <v>1.4</v>
      </c>
      <c r="C48" s="269"/>
      <c r="D48" s="269"/>
    </row>
    <row r="49" spans="1:2" ht="15.75">
      <c r="A49" s="281">
        <v>1.8</v>
      </c>
      <c r="B49" s="283">
        <v>1.52</v>
      </c>
    </row>
    <row r="50" spans="1:2" ht="15.75">
      <c r="A50" s="281">
        <v>2</v>
      </c>
      <c r="B50" s="283">
        <v>1.63</v>
      </c>
    </row>
    <row r="51" spans="1:2" ht="15.75">
      <c r="A51" s="281">
        <v>2.2000000000000002</v>
      </c>
      <c r="B51" s="283">
        <v>1.74</v>
      </c>
    </row>
    <row r="52" spans="1:2" ht="15.75">
      <c r="A52" s="281">
        <v>2.4</v>
      </c>
      <c r="B52" s="283">
        <v>1.88</v>
      </c>
    </row>
    <row r="53" spans="1:2" ht="15.75">
      <c r="A53" s="281">
        <v>2.6</v>
      </c>
      <c r="B53" s="283">
        <v>2.1800000000000002</v>
      </c>
    </row>
    <row r="54" spans="1:2" ht="15.75">
      <c r="A54" s="281">
        <v>2.8</v>
      </c>
      <c r="B54" s="283">
        <v>2.54</v>
      </c>
    </row>
    <row r="55" spans="1:2" ht="15.75">
      <c r="A55" s="281">
        <v>3</v>
      </c>
      <c r="B55" s="283">
        <v>2.88</v>
      </c>
    </row>
    <row r="56" spans="1:2" ht="15.75">
      <c r="A56" s="281">
        <v>3.2</v>
      </c>
      <c r="B56" s="283">
        <v>3.24</v>
      </c>
    </row>
    <row r="57" spans="1:2" ht="15.75">
      <c r="A57" s="281">
        <v>3.4</v>
      </c>
      <c r="B57" s="283">
        <v>3.6</v>
      </c>
    </row>
    <row r="58" spans="1:2" ht="16.5" thickBot="1">
      <c r="A58" s="282">
        <v>3.6</v>
      </c>
      <c r="B58" s="284">
        <v>3.94</v>
      </c>
    </row>
  </sheetData>
  <hyperlinks>
    <hyperlink ref="A37" r:id="rId1"/>
    <hyperlink ref="D1" r:id="rId2"/>
    <hyperlink ref="A10" r:id="rId3"/>
    <hyperlink ref="A20" r:id="rId4"/>
  </hyperlinks>
  <pageMargins left="0.7" right="0.7" top="0.78740157499999996" bottom="0.78740157499999996" header="0.3" footer="0.3"/>
  <drawing r:id="rId5"/>
</worksheet>
</file>

<file path=xl/worksheets/sheet15.xml><?xml version="1.0" encoding="utf-8"?>
<worksheet xmlns="http://schemas.openxmlformats.org/spreadsheetml/2006/main" xmlns:r="http://schemas.openxmlformats.org/officeDocument/2006/relationships">
  <dimension ref="A1:U55"/>
  <sheetViews>
    <sheetView topLeftCell="A3" workbookViewId="0">
      <selection activeCell="D8" sqref="D8:D18"/>
    </sheetView>
  </sheetViews>
  <sheetFormatPr defaultRowHeight="15"/>
  <cols>
    <col min="1" max="1" width="12.140625" style="107" customWidth="1"/>
    <col min="5" max="5" width="9.42578125" customWidth="1"/>
    <col min="6" max="7" width="7.5703125" customWidth="1"/>
    <col min="8" max="8" width="9.140625" style="130"/>
    <col min="9" max="9" width="9" customWidth="1"/>
    <col min="12" max="13" width="9.140625" style="61"/>
  </cols>
  <sheetData>
    <row r="1" spans="1:21">
      <c r="B1" s="86" t="s">
        <v>272</v>
      </c>
      <c r="N1" s="61"/>
      <c r="O1" s="61"/>
      <c r="P1" s="61"/>
      <c r="Q1" s="61"/>
      <c r="R1" s="61"/>
      <c r="S1" s="61"/>
      <c r="T1" s="61"/>
      <c r="U1" s="61"/>
    </row>
    <row r="2" spans="1:21">
      <c r="O2" s="2" t="s">
        <v>171</v>
      </c>
      <c r="P2" s="1"/>
      <c r="Q2" s="1"/>
    </row>
    <row r="3" spans="1:21" s="61" customFormat="1" ht="15.75" thickBot="1">
      <c r="A3" s="111"/>
      <c r="B3" s="112"/>
      <c r="C3" s="100"/>
      <c r="D3" s="100"/>
      <c r="E3" s="100" t="s">
        <v>7</v>
      </c>
      <c r="F3" s="100"/>
      <c r="G3" s="100"/>
      <c r="H3" s="130"/>
      <c r="I3" s="100"/>
      <c r="N3"/>
      <c r="O3" s="1" t="s">
        <v>172</v>
      </c>
      <c r="P3" s="8" t="s">
        <v>2</v>
      </c>
      <c r="Q3" s="9" t="s">
        <v>1</v>
      </c>
      <c r="R3"/>
      <c r="S3"/>
      <c r="T3"/>
      <c r="U3"/>
    </row>
    <row r="4" spans="1:21" s="61" customFormat="1" ht="15" customHeight="1">
      <c r="A4" s="120"/>
      <c r="B4" s="121" t="s">
        <v>268</v>
      </c>
      <c r="C4" s="122"/>
      <c r="D4" s="102"/>
      <c r="E4" s="92" t="s">
        <v>286</v>
      </c>
      <c r="F4" s="61" t="s">
        <v>280</v>
      </c>
      <c r="G4" s="61" t="s">
        <v>281</v>
      </c>
      <c r="H4" s="129" t="s">
        <v>22</v>
      </c>
      <c r="I4" s="61" t="s">
        <v>282</v>
      </c>
      <c r="J4" s="61" t="s">
        <v>55</v>
      </c>
      <c r="M4" s="99"/>
      <c r="N4"/>
      <c r="O4" s="1">
        <f>P4/1000/SQRT(Q4/104)</f>
        <v>1</v>
      </c>
      <c r="P4" s="3">
        <v>1000</v>
      </c>
      <c r="Q4" s="3">
        <v>104</v>
      </c>
      <c r="R4"/>
      <c r="S4"/>
      <c r="T4"/>
      <c r="U4"/>
    </row>
    <row r="5" spans="1:21">
      <c r="A5" s="111"/>
      <c r="B5" s="123" t="s">
        <v>269</v>
      </c>
      <c r="C5" s="124"/>
      <c r="D5" s="97"/>
      <c r="E5" s="101" t="s">
        <v>59</v>
      </c>
      <c r="F5" s="101" t="s">
        <v>19</v>
      </c>
      <c r="G5" s="101" t="s">
        <v>19</v>
      </c>
      <c r="H5" s="128" t="s">
        <v>2</v>
      </c>
      <c r="I5" s="101" t="s">
        <v>4</v>
      </c>
      <c r="J5" s="101" t="s">
        <v>15</v>
      </c>
      <c r="K5" s="101" t="s">
        <v>53</v>
      </c>
      <c r="M5" s="105" t="s">
        <v>20</v>
      </c>
      <c r="N5" s="92" t="s">
        <v>283</v>
      </c>
      <c r="O5" s="92" t="s">
        <v>244</v>
      </c>
    </row>
    <row r="6" spans="1:21">
      <c r="A6" s="125" t="s">
        <v>229</v>
      </c>
      <c r="B6" s="126" t="s">
        <v>270</v>
      </c>
      <c r="C6" s="127" t="s">
        <v>271</v>
      </c>
      <c r="D6" s="97"/>
      <c r="E6" s="103">
        <v>6</v>
      </c>
      <c r="F6" s="103">
        <v>50</v>
      </c>
      <c r="G6" s="103">
        <v>75</v>
      </c>
      <c r="H6" s="130">
        <f>E6/(G6-F6)/4.2*3600</f>
        <v>205.71428571428569</v>
      </c>
      <c r="I6" s="104">
        <v>20</v>
      </c>
      <c r="J6">
        <f>H6/3600/(I6*I6*3.14/4)*1000</f>
        <v>0.18198362147406733</v>
      </c>
      <c r="K6" s="47">
        <f>26500/I6^1.27*J6^1.82</f>
        <v>26.558073674529005</v>
      </c>
      <c r="L6" s="47"/>
      <c r="M6" s="1">
        <v>0.5</v>
      </c>
      <c r="N6">
        <f>SQRT(20*O6*4/3.14)</f>
        <v>0.79785054578954751</v>
      </c>
      <c r="O6" s="1">
        <f t="shared" ref="O6:O21" si="0">P6/1000/SQRT(Q6/104)</f>
        <v>2.4985195616604648E-2</v>
      </c>
      <c r="P6" s="1">
        <v>2.4500000000000002</v>
      </c>
      <c r="Q6" s="1">
        <v>1</v>
      </c>
    </row>
    <row r="7" spans="1:21">
      <c r="A7" s="108">
        <f>B7*B7*3.14/4</f>
        <v>28.26</v>
      </c>
      <c r="B7" s="109">
        <v>6</v>
      </c>
      <c r="C7" s="110" t="s">
        <v>274</v>
      </c>
      <c r="D7" s="98"/>
      <c r="E7" s="100">
        <v>22</v>
      </c>
      <c r="F7" s="100">
        <v>50</v>
      </c>
      <c r="G7" s="100">
        <v>75</v>
      </c>
      <c r="H7" s="130">
        <f>E7/(G7-F7)/4.2*3600</f>
        <v>754.28571428571433</v>
      </c>
      <c r="I7" s="100">
        <v>20</v>
      </c>
      <c r="J7" s="61">
        <f>H7/3600/(I7*I7*3.14/4)*1000</f>
        <v>0.66727327873824693</v>
      </c>
      <c r="K7" s="47">
        <f>26500/I7^1.27*J7^1.82</f>
        <v>282.59897007471938</v>
      </c>
      <c r="L7" s="47"/>
      <c r="M7" s="1">
        <v>1.5</v>
      </c>
      <c r="N7" s="61">
        <f t="shared" ref="N7:N21" si="1">SQRT(20*O7*4/3.14)</f>
        <v>1.1167581303916896</v>
      </c>
      <c r="O7" s="1">
        <f t="shared" si="0"/>
        <v>4.8950587330490729E-2</v>
      </c>
      <c r="P7" s="1">
        <v>4.8</v>
      </c>
      <c r="Q7" s="1">
        <v>1</v>
      </c>
    </row>
    <row r="8" spans="1:21">
      <c r="A8" s="111">
        <f t="shared" ref="A8:A28" si="2">B8*B8*3.14/4</f>
        <v>50.24</v>
      </c>
      <c r="B8" s="112">
        <v>8</v>
      </c>
      <c r="C8" s="113" t="s">
        <v>273</v>
      </c>
      <c r="D8" s="98"/>
      <c r="E8" s="100">
        <v>22</v>
      </c>
      <c r="F8" s="100">
        <v>50</v>
      </c>
      <c r="G8" s="100">
        <v>90</v>
      </c>
      <c r="H8" s="130">
        <f>E8/(G8-F8)/4.2*3600</f>
        <v>471.42857142857144</v>
      </c>
      <c r="I8" s="100">
        <v>20</v>
      </c>
      <c r="J8" s="61">
        <f>H8/3600/(I8*I8*3.14/4)*1000</f>
        <v>0.41704579921140433</v>
      </c>
      <c r="K8" s="47">
        <f>26500/I8^1.27*J8^1.82</f>
        <v>120.13573404026674</v>
      </c>
      <c r="L8" s="47"/>
      <c r="M8" s="1">
        <v>2.5</v>
      </c>
      <c r="N8" s="61">
        <f t="shared" si="1"/>
        <v>1.8021606836453106</v>
      </c>
      <c r="O8" s="1">
        <f t="shared" si="0"/>
        <v>0.12747548783981963</v>
      </c>
      <c r="P8" s="1">
        <v>12.5</v>
      </c>
      <c r="Q8" s="1">
        <v>1</v>
      </c>
    </row>
    <row r="9" spans="1:21">
      <c r="A9" s="111">
        <f t="shared" si="2"/>
        <v>78.5</v>
      </c>
      <c r="B9" s="112">
        <v>10</v>
      </c>
      <c r="C9" s="113" t="s">
        <v>275</v>
      </c>
      <c r="D9" s="99"/>
      <c r="E9" s="106"/>
      <c r="F9" s="100"/>
      <c r="G9" s="100"/>
      <c r="I9" s="100"/>
      <c r="J9" s="61"/>
      <c r="K9" s="99"/>
      <c r="L9" s="99"/>
      <c r="M9" s="1">
        <v>3.5</v>
      </c>
      <c r="N9" s="61">
        <f t="shared" si="1"/>
        <v>2.6486244656617846</v>
      </c>
      <c r="O9" s="1">
        <f t="shared" si="0"/>
        <v>0.27534705373401036</v>
      </c>
      <c r="P9" s="1">
        <v>27</v>
      </c>
      <c r="Q9" s="1">
        <v>1</v>
      </c>
    </row>
    <row r="10" spans="1:21">
      <c r="A10" s="111">
        <f t="shared" si="2"/>
        <v>176.625</v>
      </c>
      <c r="B10" s="112">
        <v>15</v>
      </c>
      <c r="C10" s="113" t="s">
        <v>276</v>
      </c>
      <c r="D10" s="99"/>
      <c r="E10" s="100"/>
      <c r="F10" s="100"/>
      <c r="G10" s="100"/>
      <c r="I10" s="1"/>
      <c r="J10" s="47"/>
      <c r="K10" s="47"/>
      <c r="L10" s="47"/>
      <c r="M10" s="1">
        <v>4.5</v>
      </c>
      <c r="N10" s="61">
        <f t="shared" si="1"/>
        <v>3.3034150989111999</v>
      </c>
      <c r="O10" s="1">
        <f t="shared" si="0"/>
        <v>0.42831763914179394</v>
      </c>
      <c r="P10" s="1">
        <v>42</v>
      </c>
      <c r="Q10" s="1">
        <v>1</v>
      </c>
    </row>
    <row r="11" spans="1:21">
      <c r="A11" s="111">
        <f t="shared" si="2"/>
        <v>314</v>
      </c>
      <c r="B11" s="112">
        <v>20</v>
      </c>
      <c r="C11" s="113" t="s">
        <v>277</v>
      </c>
      <c r="D11" s="99"/>
      <c r="E11" s="100"/>
      <c r="F11" s="100"/>
      <c r="G11" s="100"/>
      <c r="I11" s="100"/>
      <c r="J11" s="61"/>
      <c r="K11" s="99"/>
      <c r="L11" s="99"/>
      <c r="M11" s="1">
        <v>5.5</v>
      </c>
      <c r="N11" s="61">
        <f t="shared" si="1"/>
        <v>3.9483362347258719</v>
      </c>
      <c r="O11" s="1">
        <f t="shared" si="0"/>
        <v>0.61188234163113409</v>
      </c>
      <c r="P11" s="1">
        <v>60</v>
      </c>
      <c r="Q11" s="1">
        <v>1</v>
      </c>
    </row>
    <row r="12" spans="1:21">
      <c r="A12" s="111">
        <f t="shared" si="2"/>
        <v>490.625</v>
      </c>
      <c r="B12" s="112">
        <v>25</v>
      </c>
      <c r="C12" s="114">
        <v>1</v>
      </c>
      <c r="D12" s="99"/>
      <c r="E12" s="100" t="s">
        <v>284</v>
      </c>
      <c r="F12" s="100"/>
      <c r="G12" s="100"/>
      <c r="I12" s="100"/>
      <c r="J12" s="61"/>
      <c r="M12" s="1">
        <v>6.5</v>
      </c>
      <c r="N12" s="61">
        <f t="shared" si="1"/>
        <v>4.7270231575672756</v>
      </c>
      <c r="O12" s="1">
        <f t="shared" si="0"/>
        <v>0.87703135633795881</v>
      </c>
      <c r="P12" s="1">
        <v>86</v>
      </c>
      <c r="Q12" s="1">
        <v>1</v>
      </c>
    </row>
    <row r="13" spans="1:21">
      <c r="A13" s="111">
        <f t="shared" si="2"/>
        <v>803.84</v>
      </c>
      <c r="B13" s="112">
        <v>32</v>
      </c>
      <c r="C13" s="115">
        <v>1.25</v>
      </c>
      <c r="D13" s="99"/>
      <c r="E13" s="92" t="s">
        <v>285</v>
      </c>
      <c r="F13" s="61" t="s">
        <v>280</v>
      </c>
      <c r="G13" s="61" t="s">
        <v>281</v>
      </c>
      <c r="H13" s="129" t="s">
        <v>22</v>
      </c>
      <c r="I13" s="61" t="s">
        <v>282</v>
      </c>
      <c r="J13" s="61" t="s">
        <v>55</v>
      </c>
      <c r="N13" s="61"/>
      <c r="O13" s="1"/>
      <c r="P13" s="61"/>
      <c r="Q13" s="61"/>
      <c r="R13" s="61"/>
    </row>
    <row r="14" spans="1:21">
      <c r="A14" s="111">
        <f t="shared" si="2"/>
        <v>1256</v>
      </c>
      <c r="B14" s="112">
        <v>40</v>
      </c>
      <c r="C14" s="115">
        <v>1.5</v>
      </c>
      <c r="D14" s="99"/>
      <c r="E14" s="101" t="s">
        <v>59</v>
      </c>
      <c r="F14" s="101" t="s">
        <v>19</v>
      </c>
      <c r="G14" s="101" t="s">
        <v>19</v>
      </c>
      <c r="H14" s="128" t="s">
        <v>2</v>
      </c>
      <c r="I14" s="101" t="s">
        <v>4</v>
      </c>
      <c r="J14" s="101" t="s">
        <v>15</v>
      </c>
      <c r="K14" s="101" t="s">
        <v>53</v>
      </c>
      <c r="M14" s="1">
        <v>1</v>
      </c>
      <c r="N14" s="61">
        <f t="shared" si="1"/>
        <v>1.8371704427023923</v>
      </c>
      <c r="O14" s="1">
        <f t="shared" si="0"/>
        <v>0.13247641299491769</v>
      </c>
      <c r="P14" s="1">
        <v>22.5</v>
      </c>
      <c r="Q14" s="1">
        <v>3</v>
      </c>
    </row>
    <row r="15" spans="1:21">
      <c r="A15" s="111">
        <f t="shared" si="2"/>
        <v>1962.5</v>
      </c>
      <c r="B15" s="112">
        <v>50</v>
      </c>
      <c r="C15" s="116">
        <v>2</v>
      </c>
      <c r="D15" s="99"/>
      <c r="E15" s="100">
        <v>14</v>
      </c>
      <c r="F15" s="100">
        <v>75</v>
      </c>
      <c r="G15" s="100">
        <v>45</v>
      </c>
      <c r="H15" s="130">
        <f>-E15/(G15-F15)/4.2*3600</f>
        <v>400</v>
      </c>
      <c r="I15" s="100">
        <v>20</v>
      </c>
      <c r="J15" s="61">
        <f>H15/3600/(I15*I15*3.14/4)*1000</f>
        <v>0.35385704175513089</v>
      </c>
      <c r="K15" s="47">
        <f>26500/I15^1.27*J15^1.82</f>
        <v>89.084973013249893</v>
      </c>
      <c r="L15" s="47"/>
      <c r="M15" s="1">
        <v>2</v>
      </c>
      <c r="N15" s="61">
        <f t="shared" si="1"/>
        <v>2.2583832762825553</v>
      </c>
      <c r="O15" s="1">
        <f t="shared" si="0"/>
        <v>0.20018657963676456</v>
      </c>
      <c r="P15" s="1">
        <v>34</v>
      </c>
      <c r="Q15" s="1">
        <v>3</v>
      </c>
    </row>
    <row r="16" spans="1:21">
      <c r="A16" s="111">
        <f t="shared" si="2"/>
        <v>3316.625</v>
      </c>
      <c r="B16" s="112">
        <v>65</v>
      </c>
      <c r="C16" s="115">
        <v>2.5</v>
      </c>
      <c r="D16" s="99"/>
      <c r="E16" s="100">
        <v>14</v>
      </c>
      <c r="F16" s="100">
        <v>75</v>
      </c>
      <c r="G16" s="100">
        <v>40</v>
      </c>
      <c r="H16" s="130">
        <f>-E16/(G16-F16)/4.2*3600</f>
        <v>342.85714285714283</v>
      </c>
      <c r="I16" s="100">
        <v>20</v>
      </c>
      <c r="J16" s="61">
        <f>H16/3600/(I16*I16*3.14/4)*1000</f>
        <v>0.30330603579011223</v>
      </c>
      <c r="K16" s="47">
        <f>26500/I16^1.27*J16^1.82</f>
        <v>67.291668322638756</v>
      </c>
      <c r="L16" s="47"/>
      <c r="M16" s="1">
        <v>3</v>
      </c>
      <c r="N16" s="61">
        <f t="shared" si="1"/>
        <v>2.8723643993110297</v>
      </c>
      <c r="O16" s="1">
        <f t="shared" si="0"/>
        <v>0.32383123176535439</v>
      </c>
      <c r="P16" s="1">
        <v>55</v>
      </c>
      <c r="Q16" s="1">
        <v>3</v>
      </c>
      <c r="R16" s="61"/>
    </row>
    <row r="17" spans="1:18">
      <c r="A17" s="111">
        <f t="shared" si="2"/>
        <v>5024</v>
      </c>
      <c r="B17" s="112">
        <v>80</v>
      </c>
      <c r="C17" s="116">
        <v>3</v>
      </c>
      <c r="D17" s="99"/>
      <c r="E17" s="100">
        <v>22</v>
      </c>
      <c r="F17" s="100">
        <v>75</v>
      </c>
      <c r="G17" s="100">
        <v>65</v>
      </c>
      <c r="H17" s="130">
        <f>-E17/(G17-F17)/4.2*3600</f>
        <v>1885.7142857142858</v>
      </c>
      <c r="I17" s="100">
        <v>40</v>
      </c>
      <c r="J17" s="61">
        <f>H17/3600/(I17*I17*3.14/4)*1000</f>
        <v>0.41704579921140433</v>
      </c>
      <c r="K17" s="47">
        <f>26500/I17^1.27*J17^1.82</f>
        <v>49.815456195179301</v>
      </c>
      <c r="L17" s="47"/>
      <c r="M17" s="1">
        <v>4</v>
      </c>
      <c r="N17" s="61">
        <f t="shared" si="1"/>
        <v>3.1225893123784649</v>
      </c>
      <c r="O17" s="1">
        <f t="shared" si="0"/>
        <v>0.38270963754087339</v>
      </c>
      <c r="P17" s="1">
        <v>65</v>
      </c>
      <c r="Q17" s="1">
        <v>3</v>
      </c>
      <c r="R17" s="61"/>
    </row>
    <row r="18" spans="1:18">
      <c r="A18" s="111">
        <f t="shared" si="2"/>
        <v>7850</v>
      </c>
      <c r="B18" s="112">
        <v>100</v>
      </c>
      <c r="C18" s="116">
        <v>4</v>
      </c>
      <c r="D18" s="99"/>
      <c r="E18" s="100">
        <v>1</v>
      </c>
      <c r="F18" s="100">
        <v>75</v>
      </c>
      <c r="G18" s="100">
        <v>65</v>
      </c>
      <c r="H18" s="130">
        <f>-E18/(G18-F18)/4.2*3600</f>
        <v>85.714285714285708</v>
      </c>
      <c r="I18" s="100">
        <v>10</v>
      </c>
      <c r="J18" s="61">
        <f>H18/3600/(I18*I18*3.14/4)*1000</f>
        <v>0.30330603579011223</v>
      </c>
      <c r="K18" s="47">
        <f>26500/I18^1.27*J18^1.82</f>
        <v>162.28164080361634</v>
      </c>
      <c r="L18" s="47"/>
      <c r="M18" s="1">
        <v>5</v>
      </c>
      <c r="N18" s="61">
        <f t="shared" si="1"/>
        <v>3.4642018086142756</v>
      </c>
      <c r="O18" s="1">
        <f t="shared" si="0"/>
        <v>0.47102724620415187</v>
      </c>
      <c r="P18" s="1">
        <v>80</v>
      </c>
      <c r="Q18" s="1">
        <v>3</v>
      </c>
      <c r="R18" s="61"/>
    </row>
    <row r="19" spans="1:18">
      <c r="A19" s="111">
        <f t="shared" si="2"/>
        <v>12265.625</v>
      </c>
      <c r="B19" s="112">
        <v>125</v>
      </c>
      <c r="C19" s="116">
        <v>5</v>
      </c>
      <c r="E19" s="100">
        <v>2</v>
      </c>
      <c r="F19" s="100">
        <v>75</v>
      </c>
      <c r="G19" s="100">
        <v>65</v>
      </c>
      <c r="H19" s="130">
        <f>-E19/(G19-F19)/4.2*3600</f>
        <v>171.42857142857142</v>
      </c>
      <c r="I19" s="100">
        <v>15</v>
      </c>
      <c r="J19" s="61">
        <f>H19/3600/(I19*I19*3.14/4)*1000</f>
        <v>0.26960536514676642</v>
      </c>
      <c r="K19" s="47">
        <f>26500/I19^1.27*J19^1.82</f>
        <v>78.259289422347905</v>
      </c>
      <c r="L19" s="47"/>
      <c r="M19" s="1">
        <v>6</v>
      </c>
      <c r="N19" s="61">
        <f t="shared" si="1"/>
        <v>3.8730953659196179</v>
      </c>
      <c r="O19" s="1">
        <f t="shared" si="0"/>
        <v>0.58878405775518983</v>
      </c>
      <c r="P19" s="1">
        <v>100</v>
      </c>
      <c r="Q19" s="1">
        <v>3</v>
      </c>
    </row>
    <row r="20" spans="1:18">
      <c r="A20" s="111">
        <f t="shared" si="2"/>
        <v>17662.5</v>
      </c>
      <c r="B20" s="112">
        <v>150</v>
      </c>
      <c r="C20" s="116">
        <v>6</v>
      </c>
      <c r="K20" s="61"/>
      <c r="M20" s="1">
        <v>7</v>
      </c>
      <c r="N20" s="61">
        <f t="shared" si="1"/>
        <v>4.1534320592173195</v>
      </c>
      <c r="O20" s="1">
        <f t="shared" si="0"/>
        <v>0.67710166641846825</v>
      </c>
      <c r="P20" s="1">
        <v>115</v>
      </c>
      <c r="Q20" s="1">
        <v>3</v>
      </c>
    </row>
    <row r="21" spans="1:18">
      <c r="A21" s="111">
        <f t="shared" si="2"/>
        <v>31400</v>
      </c>
      <c r="B21" s="112">
        <v>200</v>
      </c>
      <c r="C21" s="116">
        <v>8</v>
      </c>
      <c r="K21" s="61"/>
      <c r="M21" s="1">
        <v>8</v>
      </c>
      <c r="N21" s="61">
        <f t="shared" si="1"/>
        <v>4.4160081552869022</v>
      </c>
      <c r="O21" s="1">
        <f t="shared" si="0"/>
        <v>0.76541927508174679</v>
      </c>
      <c r="P21" s="1">
        <v>130</v>
      </c>
      <c r="Q21" s="1">
        <v>3</v>
      </c>
    </row>
    <row r="22" spans="1:18">
      <c r="A22" s="111">
        <f t="shared" si="2"/>
        <v>49062.5</v>
      </c>
      <c r="B22" s="112">
        <v>250</v>
      </c>
      <c r="C22" s="116">
        <v>10</v>
      </c>
    </row>
    <row r="23" spans="1:18">
      <c r="A23" s="111">
        <f t="shared" si="2"/>
        <v>70650</v>
      </c>
      <c r="B23" s="112">
        <v>300</v>
      </c>
      <c r="C23" s="116">
        <v>12</v>
      </c>
      <c r="F23" s="1" t="s">
        <v>93</v>
      </c>
      <c r="G23" s="47" t="s">
        <v>15</v>
      </c>
      <c r="H23" s="47" t="s">
        <v>53</v>
      </c>
      <c r="I23" s="47" t="s">
        <v>17</v>
      </c>
    </row>
    <row r="24" spans="1:18">
      <c r="A24" s="111">
        <f t="shared" si="2"/>
        <v>96162.5</v>
      </c>
      <c r="B24" s="112">
        <v>350</v>
      </c>
      <c r="C24" s="116">
        <v>15</v>
      </c>
      <c r="F24" s="1">
        <v>25</v>
      </c>
      <c r="G24" s="47">
        <v>1.2</v>
      </c>
      <c r="H24" s="47">
        <f>26500/F24^1.27*G24^1.82</f>
        <v>619.40104072765166</v>
      </c>
      <c r="I24" s="47">
        <f>G24*F24*F24*3.14/4000</f>
        <v>0.58875</v>
      </c>
      <c r="N24" s="71" t="s">
        <v>264</v>
      </c>
    </row>
    <row r="25" spans="1:18">
      <c r="A25" s="111">
        <f t="shared" si="2"/>
        <v>125600</v>
      </c>
      <c r="B25" s="112">
        <v>400</v>
      </c>
      <c r="C25" s="116">
        <v>16</v>
      </c>
      <c r="N25" s="71" t="s">
        <v>265</v>
      </c>
    </row>
    <row r="26" spans="1:18">
      <c r="A26" s="111">
        <f t="shared" si="2"/>
        <v>158962.5</v>
      </c>
      <c r="B26" s="112">
        <v>450</v>
      </c>
      <c r="C26" s="116">
        <v>18</v>
      </c>
      <c r="F26" s="92" t="s">
        <v>525</v>
      </c>
      <c r="G26" s="92" t="s">
        <v>526</v>
      </c>
      <c r="H26" s="92" t="s">
        <v>527</v>
      </c>
    </row>
    <row r="27" spans="1:18">
      <c r="A27" s="111">
        <f t="shared" si="2"/>
        <v>196250</v>
      </c>
      <c r="B27" s="112">
        <v>500</v>
      </c>
      <c r="C27" s="116">
        <v>20</v>
      </c>
      <c r="F27" s="92" t="s">
        <v>15</v>
      </c>
      <c r="G27" s="92" t="s">
        <v>16</v>
      </c>
      <c r="H27" s="92" t="s">
        <v>1</v>
      </c>
    </row>
    <row r="28" spans="1:18">
      <c r="A28" s="117">
        <f t="shared" si="2"/>
        <v>282600</v>
      </c>
      <c r="B28" s="118">
        <v>600</v>
      </c>
      <c r="C28" s="119">
        <v>24</v>
      </c>
      <c r="F28" s="154">
        <v>0.5</v>
      </c>
      <c r="G28" s="190">
        <f t="shared" ref="G28" si="3">F28*F28/20</f>
        <v>1.2500000000000001E-2</v>
      </c>
      <c r="H28" s="190">
        <f t="shared" ref="H28" si="4">10*G28</f>
        <v>0.125</v>
      </c>
    </row>
    <row r="29" spans="1:18">
      <c r="F29" s="154">
        <v>13</v>
      </c>
      <c r="G29" s="190">
        <f>F29*F29/20</f>
        <v>8.4499999999999993</v>
      </c>
      <c r="H29" s="190">
        <f>10*G29</f>
        <v>84.5</v>
      </c>
    </row>
    <row r="30" spans="1:18">
      <c r="A30" s="107" t="s">
        <v>292</v>
      </c>
      <c r="F30" s="154">
        <v>30</v>
      </c>
      <c r="G30" s="190">
        <f t="shared" ref="G30" si="5">F30*F30/20</f>
        <v>45</v>
      </c>
      <c r="H30" s="190">
        <f t="shared" ref="H30" si="6">10*G30</f>
        <v>450</v>
      </c>
    </row>
    <row r="31" spans="1:18">
      <c r="A31" s="357" t="s">
        <v>288</v>
      </c>
      <c r="B31" s="357"/>
      <c r="C31" s="357"/>
    </row>
    <row r="32" spans="1:18" ht="75">
      <c r="A32" s="131" t="s">
        <v>289</v>
      </c>
      <c r="B32" s="131" t="s">
        <v>290</v>
      </c>
      <c r="C32" s="131" t="s">
        <v>291</v>
      </c>
    </row>
    <row r="33" spans="1:7">
      <c r="A33" s="131">
        <v>17.100000000000001</v>
      </c>
      <c r="B33" s="131">
        <v>10</v>
      </c>
      <c r="C33" s="132">
        <v>43680</v>
      </c>
      <c r="D33" s="112"/>
    </row>
    <row r="34" spans="1:7">
      <c r="A34" s="131">
        <v>21.4</v>
      </c>
      <c r="B34" s="131">
        <v>15</v>
      </c>
      <c r="C34" s="132">
        <v>43497</v>
      </c>
      <c r="D34" s="112"/>
    </row>
    <row r="35" spans="1:7">
      <c r="A35" s="131">
        <v>26.9</v>
      </c>
      <c r="B35" s="131">
        <v>20</v>
      </c>
      <c r="C35" s="132">
        <v>43558</v>
      </c>
      <c r="D35" s="112"/>
    </row>
    <row r="36" spans="1:7">
      <c r="A36" s="131">
        <v>33.700000000000003</v>
      </c>
      <c r="B36" s="131">
        <v>25</v>
      </c>
      <c r="C36" s="131">
        <v>1</v>
      </c>
      <c r="D36" s="112"/>
    </row>
    <row r="37" spans="1:7">
      <c r="A37" s="131">
        <v>42.4</v>
      </c>
      <c r="B37" s="131">
        <v>32</v>
      </c>
      <c r="C37" s="133">
        <v>1.25</v>
      </c>
      <c r="D37" s="112"/>
    </row>
    <row r="38" spans="1:7">
      <c r="A38" s="131">
        <v>48.3</v>
      </c>
      <c r="B38" s="131">
        <v>40</v>
      </c>
      <c r="C38" s="133">
        <v>1.5</v>
      </c>
      <c r="D38" s="112"/>
      <c r="F38" s="161">
        <v>15</v>
      </c>
    </row>
    <row r="39" spans="1:7">
      <c r="A39" s="131">
        <v>60.2</v>
      </c>
      <c r="B39" s="131">
        <v>50</v>
      </c>
      <c r="C39" s="131">
        <v>2</v>
      </c>
      <c r="D39" s="112"/>
      <c r="F39">
        <v>1.2</v>
      </c>
    </row>
    <row r="40" spans="1:7">
      <c r="F40">
        <f>F38/F39</f>
        <v>12.5</v>
      </c>
    </row>
    <row r="41" spans="1:7">
      <c r="F41">
        <v>1.2</v>
      </c>
    </row>
    <row r="42" spans="1:7">
      <c r="A42" s="107" t="s">
        <v>349</v>
      </c>
      <c r="B42" s="107" t="s">
        <v>269</v>
      </c>
      <c r="C42" s="190" t="s">
        <v>514</v>
      </c>
      <c r="D42" s="190" t="s">
        <v>516</v>
      </c>
      <c r="E42" s="190" t="s">
        <v>515</v>
      </c>
      <c r="F42" s="190" t="s">
        <v>517</v>
      </c>
      <c r="G42" s="190" t="s">
        <v>518</v>
      </c>
    </row>
    <row r="43" spans="1:7">
      <c r="A43" s="107">
        <v>1</v>
      </c>
      <c r="B43" s="107">
        <v>15</v>
      </c>
      <c r="C43">
        <v>21.3</v>
      </c>
      <c r="D43">
        <v>2.2999999999999998</v>
      </c>
      <c r="E43">
        <f>C43-D43-D43</f>
        <v>16.7</v>
      </c>
      <c r="F43">
        <f t="shared" ref="F43:F51" si="7">F$41*G43</f>
        <v>20.399999999999999</v>
      </c>
      <c r="G43">
        <v>17</v>
      </c>
    </row>
    <row r="44" spans="1:7">
      <c r="A44" s="107">
        <v>2</v>
      </c>
      <c r="B44" s="107">
        <v>15</v>
      </c>
      <c r="C44">
        <v>21.3</v>
      </c>
      <c r="D44">
        <v>2.6</v>
      </c>
      <c r="E44" s="146">
        <f t="shared" ref="E44:E55" si="8">C44-D44-D44</f>
        <v>16.099999999999998</v>
      </c>
      <c r="F44" s="146">
        <f t="shared" si="7"/>
        <v>20.399999999999999</v>
      </c>
      <c r="G44">
        <v>17</v>
      </c>
    </row>
    <row r="45" spans="1:7">
      <c r="A45" s="107">
        <v>3</v>
      </c>
      <c r="B45" s="107">
        <v>15</v>
      </c>
      <c r="C45">
        <v>21.3</v>
      </c>
      <c r="D45">
        <v>2.9</v>
      </c>
      <c r="E45" s="146">
        <f t="shared" si="8"/>
        <v>15.500000000000002</v>
      </c>
      <c r="F45" s="146">
        <f t="shared" si="7"/>
        <v>20.399999999999999</v>
      </c>
      <c r="G45">
        <v>17</v>
      </c>
    </row>
    <row r="46" spans="1:7">
      <c r="A46" s="107">
        <v>4</v>
      </c>
      <c r="B46" s="107">
        <v>20</v>
      </c>
      <c r="C46">
        <v>26.9</v>
      </c>
      <c r="D46">
        <v>2.2999999999999998</v>
      </c>
      <c r="E46" s="146">
        <f t="shared" si="8"/>
        <v>22.299999999999997</v>
      </c>
      <c r="F46" s="146">
        <f t="shared" si="7"/>
        <v>26.4</v>
      </c>
      <c r="G46">
        <v>22</v>
      </c>
    </row>
    <row r="47" spans="1:7">
      <c r="A47" s="107">
        <v>5</v>
      </c>
      <c r="B47" s="107">
        <v>20</v>
      </c>
      <c r="C47">
        <v>26.9</v>
      </c>
      <c r="D47">
        <v>2.6</v>
      </c>
      <c r="E47" s="146">
        <f t="shared" si="8"/>
        <v>21.699999999999996</v>
      </c>
      <c r="F47" s="146">
        <f t="shared" si="7"/>
        <v>26.4</v>
      </c>
      <c r="G47">
        <v>22</v>
      </c>
    </row>
    <row r="48" spans="1:7">
      <c r="A48" s="107">
        <v>6</v>
      </c>
      <c r="B48" s="107">
        <v>20</v>
      </c>
      <c r="C48">
        <v>26.9</v>
      </c>
      <c r="D48">
        <v>2.9</v>
      </c>
      <c r="E48" s="146">
        <f t="shared" si="8"/>
        <v>21.1</v>
      </c>
      <c r="F48" s="146">
        <f t="shared" si="7"/>
        <v>26.4</v>
      </c>
      <c r="G48">
        <v>22</v>
      </c>
    </row>
    <row r="49" spans="1:7">
      <c r="A49" s="107">
        <v>7</v>
      </c>
      <c r="B49" s="107">
        <v>25</v>
      </c>
      <c r="C49">
        <v>33.700000000000003</v>
      </c>
      <c r="D49">
        <v>2.2999999999999998</v>
      </c>
      <c r="E49" s="146">
        <f t="shared" si="8"/>
        <v>29.1</v>
      </c>
      <c r="F49" s="146">
        <f t="shared" si="7"/>
        <v>32.4</v>
      </c>
      <c r="G49">
        <v>27</v>
      </c>
    </row>
    <row r="50" spans="1:7">
      <c r="A50" s="107">
        <v>8</v>
      </c>
      <c r="B50" s="107">
        <v>25</v>
      </c>
      <c r="C50">
        <v>33.700000000000003</v>
      </c>
      <c r="D50">
        <v>2.6</v>
      </c>
      <c r="E50" s="146">
        <f t="shared" si="8"/>
        <v>28.5</v>
      </c>
      <c r="F50" s="146">
        <f t="shared" si="7"/>
        <v>32.4</v>
      </c>
      <c r="G50">
        <v>27</v>
      </c>
    </row>
    <row r="51" spans="1:7">
      <c r="A51" s="107">
        <v>9</v>
      </c>
      <c r="B51" s="107">
        <v>25</v>
      </c>
      <c r="C51">
        <v>33.700000000000003</v>
      </c>
      <c r="D51">
        <v>2.9</v>
      </c>
      <c r="E51" s="146">
        <f t="shared" si="8"/>
        <v>27.900000000000006</v>
      </c>
      <c r="F51" s="146">
        <f t="shared" si="7"/>
        <v>32.4</v>
      </c>
      <c r="G51">
        <v>27</v>
      </c>
    </row>
    <row r="52" spans="1:7">
      <c r="A52" s="107">
        <v>10</v>
      </c>
      <c r="B52" s="107">
        <v>25</v>
      </c>
      <c r="C52">
        <v>33.700000000000003</v>
      </c>
      <c r="D52">
        <v>3.2</v>
      </c>
      <c r="E52" s="146">
        <f t="shared" si="8"/>
        <v>27.300000000000004</v>
      </c>
    </row>
    <row r="53" spans="1:7">
      <c r="A53" s="107">
        <v>11</v>
      </c>
      <c r="B53" s="107">
        <v>32</v>
      </c>
      <c r="C53">
        <v>42.4</v>
      </c>
      <c r="D53">
        <v>2.6</v>
      </c>
      <c r="E53" s="146">
        <f t="shared" si="8"/>
        <v>37.199999999999996</v>
      </c>
    </row>
    <row r="54" spans="1:7">
      <c r="A54" s="107">
        <v>12</v>
      </c>
      <c r="B54" s="107">
        <v>32</v>
      </c>
      <c r="C54">
        <v>42.4</v>
      </c>
      <c r="D54">
        <v>2.9</v>
      </c>
      <c r="E54" s="146">
        <f t="shared" si="8"/>
        <v>36.6</v>
      </c>
    </row>
    <row r="55" spans="1:7">
      <c r="A55" s="107">
        <v>13</v>
      </c>
      <c r="B55" s="107">
        <v>32</v>
      </c>
      <c r="C55">
        <v>42.4</v>
      </c>
      <c r="D55">
        <v>3.2</v>
      </c>
      <c r="E55" s="146">
        <f t="shared" si="8"/>
        <v>35.999999999999993</v>
      </c>
    </row>
  </sheetData>
  <mergeCells count="1">
    <mergeCell ref="A31:C31"/>
  </mergeCells>
  <hyperlinks>
    <hyperlink ref="B1" r:id="rId1"/>
  </hyperlinks>
  <pageMargins left="0.7" right="0.7" top="0.78740157499999996" bottom="0.78740157499999996" header="0.3" footer="0.3"/>
  <drawing r:id="rId2"/>
</worksheet>
</file>

<file path=xl/worksheets/sheet16.xml><?xml version="1.0" encoding="utf-8"?>
<worksheet xmlns="http://schemas.openxmlformats.org/spreadsheetml/2006/main" xmlns:r="http://schemas.openxmlformats.org/officeDocument/2006/relationships">
  <dimension ref="A1:P62"/>
  <sheetViews>
    <sheetView showZeros="0" zoomScale="110" zoomScaleNormal="110" workbookViewId="0">
      <selection activeCell="B3" sqref="B3"/>
    </sheetView>
  </sheetViews>
  <sheetFormatPr defaultColWidth="11.5703125" defaultRowHeight="12.75"/>
  <cols>
    <col min="1" max="1" width="34.140625" style="74" customWidth="1"/>
    <col min="2" max="16" width="8.140625" style="74" customWidth="1"/>
    <col min="17" max="16384" width="11.5703125" style="74"/>
  </cols>
  <sheetData>
    <row r="1" spans="1:16" ht="18">
      <c r="A1" s="90" t="s">
        <v>236</v>
      </c>
      <c r="F1" s="74" t="s">
        <v>235</v>
      </c>
    </row>
    <row r="2" spans="1:16" ht="18">
      <c r="A2" s="90" t="s">
        <v>234</v>
      </c>
      <c r="B2" s="89">
        <v>1</v>
      </c>
      <c r="C2" s="89">
        <v>2</v>
      </c>
      <c r="D2" s="89">
        <v>3</v>
      </c>
      <c r="E2" s="89">
        <v>4</v>
      </c>
      <c r="F2" s="89">
        <v>5</v>
      </c>
      <c r="G2" s="89">
        <v>6</v>
      </c>
      <c r="H2" s="89">
        <v>7</v>
      </c>
      <c r="I2" s="89">
        <v>8</v>
      </c>
      <c r="J2" s="89">
        <v>9</v>
      </c>
      <c r="K2" s="89">
        <v>10</v>
      </c>
      <c r="L2" s="89">
        <v>11</v>
      </c>
      <c r="M2" s="89">
        <v>12</v>
      </c>
      <c r="N2" s="89">
        <v>13</v>
      </c>
      <c r="O2" s="89">
        <v>14</v>
      </c>
      <c r="P2" s="89">
        <v>15</v>
      </c>
    </row>
    <row r="3" spans="1:16">
      <c r="A3" s="74" t="s">
        <v>233</v>
      </c>
      <c r="B3" s="88">
        <v>0.5</v>
      </c>
      <c r="C3" s="88">
        <v>1</v>
      </c>
      <c r="D3" s="88">
        <v>1.5</v>
      </c>
      <c r="E3" s="88">
        <v>2</v>
      </c>
      <c r="F3" s="88">
        <v>3</v>
      </c>
      <c r="G3" s="88">
        <v>5</v>
      </c>
      <c r="H3" s="88">
        <v>6</v>
      </c>
      <c r="I3" s="88">
        <v>30</v>
      </c>
      <c r="J3" s="88">
        <v>30</v>
      </c>
      <c r="K3" s="88">
        <v>30</v>
      </c>
      <c r="L3" s="88">
        <v>10</v>
      </c>
      <c r="M3" s="88">
        <v>10</v>
      </c>
      <c r="N3" s="88">
        <v>10</v>
      </c>
      <c r="O3" s="88">
        <v>10</v>
      </c>
      <c r="P3" s="88">
        <v>10</v>
      </c>
    </row>
    <row r="4" spans="1:16">
      <c r="A4" s="74" t="s">
        <v>232</v>
      </c>
      <c r="B4" s="88">
        <v>5</v>
      </c>
      <c r="C4" s="88">
        <v>5</v>
      </c>
      <c r="D4" s="88">
        <v>5</v>
      </c>
      <c r="E4" s="88">
        <v>5</v>
      </c>
      <c r="F4" s="88">
        <v>5</v>
      </c>
      <c r="G4" s="88">
        <v>5</v>
      </c>
      <c r="H4" s="88">
        <v>15</v>
      </c>
      <c r="I4" s="88">
        <v>5</v>
      </c>
      <c r="J4" s="88">
        <v>5</v>
      </c>
      <c r="K4" s="88">
        <v>5</v>
      </c>
      <c r="L4" s="88">
        <v>10</v>
      </c>
      <c r="M4" s="88">
        <v>10</v>
      </c>
      <c r="N4" s="88">
        <v>10</v>
      </c>
      <c r="O4" s="88">
        <v>10</v>
      </c>
      <c r="P4" s="88">
        <v>10</v>
      </c>
    </row>
    <row r="5" spans="1:16">
      <c r="A5" s="74" t="s">
        <v>231</v>
      </c>
      <c r="B5" s="88">
        <v>0.25</v>
      </c>
      <c r="C5" s="88">
        <v>0.25</v>
      </c>
      <c r="D5" s="88">
        <v>0.25</v>
      </c>
      <c r="E5" s="88">
        <v>0.25</v>
      </c>
      <c r="F5" s="88">
        <v>0.25</v>
      </c>
      <c r="G5" s="88">
        <v>0.25</v>
      </c>
      <c r="H5" s="88">
        <v>0.25</v>
      </c>
      <c r="I5" s="88">
        <v>0.25</v>
      </c>
      <c r="J5" s="88">
        <v>0.25</v>
      </c>
      <c r="K5" s="88">
        <v>0.25</v>
      </c>
      <c r="L5" s="88">
        <v>0.25</v>
      </c>
      <c r="M5" s="88">
        <v>0.25</v>
      </c>
      <c r="N5" s="88">
        <v>0.25</v>
      </c>
      <c r="O5" s="88">
        <v>0.25</v>
      </c>
      <c r="P5" s="88">
        <v>0.25</v>
      </c>
    </row>
    <row r="6" spans="1:16">
      <c r="A6" s="74" t="s">
        <v>230</v>
      </c>
      <c r="B6" s="74">
        <f t="shared" ref="B6:P6" si="0">B3/4.2/B4</f>
        <v>2.3809523809523808E-2</v>
      </c>
      <c r="C6" s="74">
        <f t="shared" si="0"/>
        <v>4.7619047619047616E-2</v>
      </c>
      <c r="D6" s="74">
        <f t="shared" si="0"/>
        <v>7.1428571428571425E-2</v>
      </c>
      <c r="E6" s="74">
        <f t="shared" si="0"/>
        <v>9.5238095238095233E-2</v>
      </c>
      <c r="F6" s="74">
        <f t="shared" si="0"/>
        <v>0.14285714285714285</v>
      </c>
      <c r="G6" s="74">
        <f t="shared" si="0"/>
        <v>0.23809523809523808</v>
      </c>
      <c r="H6" s="74">
        <f t="shared" si="0"/>
        <v>9.5238095238095247E-2</v>
      </c>
      <c r="I6" s="74">
        <f t="shared" si="0"/>
        <v>1.4285714285714284</v>
      </c>
      <c r="J6" s="74">
        <f t="shared" si="0"/>
        <v>1.4285714285714284</v>
      </c>
      <c r="K6" s="74">
        <f t="shared" si="0"/>
        <v>1.4285714285714284</v>
      </c>
      <c r="L6" s="74">
        <f t="shared" si="0"/>
        <v>0.23809523809523808</v>
      </c>
      <c r="M6" s="74">
        <f t="shared" si="0"/>
        <v>0.23809523809523808</v>
      </c>
      <c r="N6" s="74">
        <f t="shared" si="0"/>
        <v>0.23809523809523808</v>
      </c>
      <c r="O6" s="74">
        <f t="shared" si="0"/>
        <v>0.23809523809523808</v>
      </c>
      <c r="P6" s="74">
        <f t="shared" si="0"/>
        <v>0.23809523809523808</v>
      </c>
    </row>
    <row r="7" spans="1:16">
      <c r="A7" s="74" t="s">
        <v>229</v>
      </c>
      <c r="B7" s="74">
        <f t="shared" ref="B7:P7" si="1">B6*1000/B5</f>
        <v>95.238095238095227</v>
      </c>
      <c r="C7" s="74">
        <f t="shared" si="1"/>
        <v>190.47619047619045</v>
      </c>
      <c r="D7" s="74">
        <f t="shared" si="1"/>
        <v>285.71428571428572</v>
      </c>
      <c r="E7" s="74">
        <f t="shared" si="1"/>
        <v>380.95238095238091</v>
      </c>
      <c r="F7" s="74">
        <f t="shared" si="1"/>
        <v>571.42857142857144</v>
      </c>
      <c r="G7" s="74">
        <f t="shared" si="1"/>
        <v>952.38095238095229</v>
      </c>
      <c r="H7" s="74">
        <f t="shared" si="1"/>
        <v>380.95238095238096</v>
      </c>
      <c r="I7" s="74">
        <f t="shared" si="1"/>
        <v>5714.2857142857138</v>
      </c>
      <c r="J7" s="74">
        <f t="shared" si="1"/>
        <v>5714.2857142857138</v>
      </c>
      <c r="K7" s="74">
        <f t="shared" si="1"/>
        <v>5714.2857142857138</v>
      </c>
      <c r="L7" s="74">
        <f t="shared" si="1"/>
        <v>952.38095238095229</v>
      </c>
      <c r="M7" s="74">
        <f t="shared" si="1"/>
        <v>952.38095238095229</v>
      </c>
      <c r="N7" s="74">
        <f t="shared" si="1"/>
        <v>952.38095238095229</v>
      </c>
      <c r="O7" s="74">
        <f t="shared" si="1"/>
        <v>952.38095238095229</v>
      </c>
      <c r="P7" s="74">
        <f t="shared" si="1"/>
        <v>952.38095238095229</v>
      </c>
    </row>
    <row r="8" spans="1:16">
      <c r="A8" s="74" t="s">
        <v>228</v>
      </c>
      <c r="B8" s="74">
        <f t="shared" ref="B8:P8" si="2">SQRT(B7*4/3.14)</f>
        <v>11.01464544667893</v>
      </c>
      <c r="C8" s="74">
        <f t="shared" si="2"/>
        <v>15.5770609754244</v>
      </c>
      <c r="D8" s="74">
        <f t="shared" si="2"/>
        <v>19.077925541005097</v>
      </c>
      <c r="E8" s="74">
        <f t="shared" si="2"/>
        <v>22.02929089335786</v>
      </c>
      <c r="F8" s="74">
        <f t="shared" si="2"/>
        <v>26.980261042033476</v>
      </c>
      <c r="G8" s="74">
        <f t="shared" si="2"/>
        <v>34.831367230708139</v>
      </c>
      <c r="H8" s="74">
        <f t="shared" si="2"/>
        <v>22.02929089335786</v>
      </c>
      <c r="I8" s="74">
        <f t="shared" si="2"/>
        <v>85.319076758733701</v>
      </c>
      <c r="J8" s="74">
        <f t="shared" si="2"/>
        <v>85.319076758733701</v>
      </c>
      <c r="K8" s="74">
        <f t="shared" si="2"/>
        <v>85.319076758733701</v>
      </c>
      <c r="L8" s="74">
        <f t="shared" si="2"/>
        <v>34.831367230708139</v>
      </c>
      <c r="M8" s="74">
        <f t="shared" si="2"/>
        <v>34.831367230708139</v>
      </c>
      <c r="N8" s="74">
        <f t="shared" si="2"/>
        <v>34.831367230708139</v>
      </c>
      <c r="O8" s="74">
        <f t="shared" si="2"/>
        <v>34.831367230708139</v>
      </c>
      <c r="P8" s="74">
        <f t="shared" si="2"/>
        <v>34.831367230708139</v>
      </c>
    </row>
    <row r="11" spans="1:16">
      <c r="A11" s="74" t="s">
        <v>227</v>
      </c>
      <c r="B11" s="88">
        <v>1</v>
      </c>
      <c r="C11" s="88">
        <v>10</v>
      </c>
      <c r="D11" s="88">
        <v>1</v>
      </c>
      <c r="E11" s="88">
        <v>1</v>
      </c>
      <c r="F11" s="88">
        <v>1</v>
      </c>
      <c r="G11" s="88">
        <v>1</v>
      </c>
      <c r="H11" s="88">
        <v>1</v>
      </c>
      <c r="I11" s="88">
        <v>1</v>
      </c>
      <c r="J11" s="88">
        <v>1</v>
      </c>
      <c r="K11" s="88">
        <v>1</v>
      </c>
      <c r="L11" s="88">
        <v>50</v>
      </c>
      <c r="M11" s="88">
        <v>50</v>
      </c>
      <c r="N11" s="88">
        <v>50</v>
      </c>
      <c r="O11" s="88">
        <v>50</v>
      </c>
      <c r="P11" s="88">
        <v>50</v>
      </c>
    </row>
    <row r="12" spans="1:16" ht="15">
      <c r="A12" s="74" t="s">
        <v>226</v>
      </c>
      <c r="B12" s="87">
        <v>10</v>
      </c>
      <c r="C12" s="87">
        <v>13</v>
      </c>
      <c r="D12" s="87">
        <v>16</v>
      </c>
      <c r="E12" s="87">
        <v>20</v>
      </c>
      <c r="F12" s="87">
        <v>25</v>
      </c>
      <c r="G12" s="87">
        <v>32</v>
      </c>
      <c r="H12" s="76">
        <v>85</v>
      </c>
      <c r="I12" s="76">
        <v>85</v>
      </c>
      <c r="J12" s="76">
        <v>85</v>
      </c>
      <c r="K12" s="76">
        <v>85</v>
      </c>
      <c r="L12" s="76">
        <v>20</v>
      </c>
      <c r="M12" s="76">
        <v>20</v>
      </c>
      <c r="N12" s="76">
        <v>20</v>
      </c>
      <c r="O12" s="76">
        <v>20</v>
      </c>
      <c r="P12" s="76">
        <v>20</v>
      </c>
    </row>
    <row r="13" spans="1:16">
      <c r="A13" s="74" t="s">
        <v>225</v>
      </c>
      <c r="B13" s="75">
        <f t="shared" ref="B13:P13" si="3">B6*1000/(B12*B12*3.14/4)</f>
        <v>0.30330603579011217</v>
      </c>
      <c r="C13" s="75">
        <f t="shared" si="3"/>
        <v>0.35894205418948189</v>
      </c>
      <c r="D13" s="75">
        <f t="shared" si="3"/>
        <v>0.35543676069153773</v>
      </c>
      <c r="E13" s="75">
        <f t="shared" si="3"/>
        <v>0.30330603579011217</v>
      </c>
      <c r="F13" s="75">
        <f t="shared" si="3"/>
        <v>0.29117379435850776</v>
      </c>
      <c r="G13" s="75">
        <f t="shared" si="3"/>
        <v>0.29619730057628141</v>
      </c>
      <c r="H13" s="75">
        <f t="shared" si="3"/>
        <v>1.6792029663120399E-2</v>
      </c>
      <c r="I13" s="75">
        <f t="shared" si="3"/>
        <v>0.25188044494680595</v>
      </c>
      <c r="J13" s="75">
        <f t="shared" si="3"/>
        <v>0.25188044494680595</v>
      </c>
      <c r="K13" s="75">
        <f t="shared" si="3"/>
        <v>0.25188044494680595</v>
      </c>
      <c r="L13" s="75">
        <f t="shared" si="3"/>
        <v>0.75826508947528048</v>
      </c>
      <c r="M13" s="75">
        <f t="shared" si="3"/>
        <v>0.75826508947528048</v>
      </c>
      <c r="N13" s="75">
        <f t="shared" si="3"/>
        <v>0.75826508947528048</v>
      </c>
      <c r="O13" s="75">
        <f t="shared" si="3"/>
        <v>0.75826508947528048</v>
      </c>
      <c r="P13" s="75">
        <f t="shared" si="3"/>
        <v>0.75826508947528048</v>
      </c>
    </row>
    <row r="14" spans="1:16">
      <c r="A14" s="74" t="s">
        <v>224</v>
      </c>
      <c r="B14" s="75">
        <f t="shared" ref="B14:P14" si="4">B11*26500/B12^1.27*B13^1.82</f>
        <v>162.28164080361626</v>
      </c>
      <c r="C14" s="75">
        <f t="shared" si="4"/>
        <v>1580.0910837564904</v>
      </c>
      <c r="D14" s="75">
        <f t="shared" si="4"/>
        <v>119.23423204740028</v>
      </c>
      <c r="E14" s="75">
        <f t="shared" si="4"/>
        <v>67.291668322638728</v>
      </c>
      <c r="F14" s="75">
        <f t="shared" si="4"/>
        <v>47.056456817636629</v>
      </c>
      <c r="G14" s="75">
        <f t="shared" si="4"/>
        <v>35.479949791957758</v>
      </c>
      <c r="H14" s="75">
        <f t="shared" si="4"/>
        <v>5.5280460109684883E-2</v>
      </c>
      <c r="I14" s="75">
        <f t="shared" si="4"/>
        <v>7.6393734427667148</v>
      </c>
      <c r="J14" s="75">
        <f t="shared" si="4"/>
        <v>7.6393734427667148</v>
      </c>
      <c r="K14" s="75">
        <f t="shared" si="4"/>
        <v>7.6393734427667148</v>
      </c>
      <c r="L14" s="75">
        <f t="shared" si="4"/>
        <v>17831.263416148067</v>
      </c>
      <c r="M14" s="75">
        <f t="shared" si="4"/>
        <v>17831.263416148067</v>
      </c>
      <c r="N14" s="75">
        <f t="shared" si="4"/>
        <v>17831.263416148067</v>
      </c>
      <c r="O14" s="75">
        <f t="shared" si="4"/>
        <v>17831.263416148067</v>
      </c>
      <c r="P14" s="75">
        <f t="shared" si="4"/>
        <v>17831.263416148067</v>
      </c>
    </row>
    <row r="17" spans="1:6">
      <c r="B17" s="74" t="s">
        <v>223</v>
      </c>
    </row>
    <row r="18" spans="1:6">
      <c r="B18" s="74" t="s">
        <v>222</v>
      </c>
    </row>
    <row r="19" spans="1:6">
      <c r="B19" s="74" t="s">
        <v>221</v>
      </c>
    </row>
    <row r="20" spans="1:6" ht="15">
      <c r="A20" s="86" t="s">
        <v>220</v>
      </c>
    </row>
    <row r="21" spans="1:6" ht="15">
      <c r="A21" s="86" t="s">
        <v>219</v>
      </c>
    </row>
    <row r="23" spans="1:6">
      <c r="A23" s="74" t="s">
        <v>218</v>
      </c>
    </row>
    <row r="25" spans="1:6">
      <c r="A25" s="74" t="s">
        <v>217</v>
      </c>
    </row>
    <row r="26" spans="1:6">
      <c r="A26" s="74" t="s">
        <v>216</v>
      </c>
    </row>
    <row r="28" spans="1:6">
      <c r="A28" s="74" t="s">
        <v>215</v>
      </c>
    </row>
    <row r="29" spans="1:6">
      <c r="A29" s="74" t="s">
        <v>214</v>
      </c>
    </row>
    <row r="31" spans="1:6">
      <c r="A31" s="74" t="s">
        <v>213</v>
      </c>
      <c r="C31" s="74" t="s">
        <v>212</v>
      </c>
      <c r="D31" s="74" t="s">
        <v>15</v>
      </c>
      <c r="F31" s="74" t="s">
        <v>211</v>
      </c>
    </row>
    <row r="32" spans="1:6">
      <c r="A32" s="74">
        <v>1</v>
      </c>
      <c r="C32" s="76">
        <v>85</v>
      </c>
      <c r="D32" s="75">
        <v>0.25180000000000002</v>
      </c>
      <c r="F32" s="75">
        <f>A32*26500/C32^1.27*D32^1.82</f>
        <v>7.6349335081753127</v>
      </c>
    </row>
    <row r="33" spans="1:7">
      <c r="A33" s="74">
        <v>1</v>
      </c>
      <c r="C33" s="76">
        <v>85</v>
      </c>
      <c r="D33" s="75">
        <v>1</v>
      </c>
      <c r="F33" s="75">
        <f>A33*26500/C33^1.27*D33^1.82</f>
        <v>93.947199427204481</v>
      </c>
    </row>
    <row r="34" spans="1:7">
      <c r="A34" s="74">
        <v>1</v>
      </c>
      <c r="C34" s="76">
        <v>85</v>
      </c>
      <c r="D34" s="75">
        <v>1</v>
      </c>
      <c r="F34" s="75">
        <f>A34*26500/C34^1.27*D34^1.82</f>
        <v>93.947199427204481</v>
      </c>
    </row>
    <row r="35" spans="1:7" ht="15">
      <c r="B35" s="48" t="s">
        <v>56</v>
      </c>
      <c r="C35" s="77"/>
      <c r="D35" s="77"/>
      <c r="E35" s="77"/>
      <c r="F35" s="77"/>
      <c r="G35" s="77"/>
    </row>
    <row r="36" spans="1:7">
      <c r="B36" s="77"/>
      <c r="D36" s="75" t="s">
        <v>55</v>
      </c>
      <c r="E36" s="75" t="s">
        <v>54</v>
      </c>
      <c r="F36" s="77"/>
      <c r="G36" s="77"/>
    </row>
    <row r="37" spans="1:7">
      <c r="B37" s="77"/>
      <c r="D37" s="75" t="s">
        <v>15</v>
      </c>
      <c r="E37" s="75" t="s">
        <v>53</v>
      </c>
      <c r="F37" s="77"/>
      <c r="G37" s="77" t="s">
        <v>66</v>
      </c>
    </row>
    <row r="38" spans="1:7">
      <c r="A38" s="74">
        <v>1</v>
      </c>
      <c r="B38" s="77" t="s">
        <v>52</v>
      </c>
      <c r="C38" s="74">
        <v>16</v>
      </c>
      <c r="D38" s="75">
        <v>0.3</v>
      </c>
      <c r="E38" s="75">
        <v>84</v>
      </c>
      <c r="F38" s="75">
        <f t="shared" ref="F38:F55" si="5">A38*26500/C38^1.27*D38^1.82</f>
        <v>87.573796883038113</v>
      </c>
      <c r="G38" s="77">
        <f t="shared" ref="G38:G55" si="6">F38/E38</f>
        <v>1.042545200988549</v>
      </c>
    </row>
    <row r="39" spans="1:7">
      <c r="A39" s="74">
        <v>1</v>
      </c>
      <c r="B39" s="77"/>
      <c r="C39" s="74">
        <v>16</v>
      </c>
      <c r="D39" s="75">
        <v>0.6</v>
      </c>
      <c r="E39" s="75">
        <v>288</v>
      </c>
      <c r="F39" s="75">
        <f t="shared" si="5"/>
        <v>309.2066116208278</v>
      </c>
      <c r="G39" s="77">
        <f t="shared" si="6"/>
        <v>1.0736340681278742</v>
      </c>
    </row>
    <row r="40" spans="1:7">
      <c r="A40" s="74">
        <v>1</v>
      </c>
      <c r="B40" s="77"/>
      <c r="C40" s="74">
        <v>16</v>
      </c>
      <c r="D40" s="75">
        <v>1.2</v>
      </c>
      <c r="E40" s="75">
        <v>1017</v>
      </c>
      <c r="F40" s="75">
        <f t="shared" si="5"/>
        <v>1091.7504102023422</v>
      </c>
      <c r="G40" s="77">
        <f t="shared" si="6"/>
        <v>1.0735008949875537</v>
      </c>
    </row>
    <row r="41" spans="1:7">
      <c r="A41" s="74">
        <v>1</v>
      </c>
      <c r="B41" s="77" t="s">
        <v>51</v>
      </c>
      <c r="C41" s="74">
        <v>25</v>
      </c>
      <c r="D41" s="75">
        <v>0.3</v>
      </c>
      <c r="E41" s="75">
        <v>49.2</v>
      </c>
      <c r="F41" s="75">
        <f t="shared" si="5"/>
        <v>49.684708540455205</v>
      </c>
      <c r="G41" s="77">
        <f t="shared" si="6"/>
        <v>1.0098517996027481</v>
      </c>
    </row>
    <row r="42" spans="1:7">
      <c r="A42" s="74">
        <v>1</v>
      </c>
      <c r="B42" s="77"/>
      <c r="C42" s="74">
        <v>25</v>
      </c>
      <c r="D42" s="75">
        <v>0.6</v>
      </c>
      <c r="E42" s="75">
        <v>173</v>
      </c>
      <c r="F42" s="75">
        <f t="shared" si="5"/>
        <v>175.4273643939508</v>
      </c>
      <c r="G42" s="77">
        <f t="shared" si="6"/>
        <v>1.014031008057519</v>
      </c>
    </row>
    <row r="43" spans="1:7">
      <c r="A43" s="74">
        <v>1</v>
      </c>
      <c r="B43" s="77"/>
      <c r="C43" s="74">
        <v>25</v>
      </c>
      <c r="D43" s="75">
        <v>1.2</v>
      </c>
      <c r="E43" s="75">
        <v>625</v>
      </c>
      <c r="F43" s="75">
        <f t="shared" si="5"/>
        <v>619.40104072765166</v>
      </c>
      <c r="G43" s="77">
        <f t="shared" si="6"/>
        <v>0.99104166516424264</v>
      </c>
    </row>
    <row r="44" spans="1:7">
      <c r="A44" s="74">
        <v>1</v>
      </c>
      <c r="B44" s="77" t="s">
        <v>50</v>
      </c>
      <c r="C44" s="74">
        <v>20</v>
      </c>
      <c r="D44" s="75">
        <v>0.3</v>
      </c>
      <c r="E44" s="75">
        <v>65.2</v>
      </c>
      <c r="F44" s="75">
        <f t="shared" si="5"/>
        <v>65.96270593232795</v>
      </c>
      <c r="G44" s="77">
        <f t="shared" si="6"/>
        <v>1.0116979437473612</v>
      </c>
    </row>
    <row r="45" spans="1:7">
      <c r="A45" s="74">
        <v>1</v>
      </c>
      <c r="B45" s="77"/>
      <c r="C45" s="74">
        <v>20</v>
      </c>
      <c r="D45" s="75">
        <v>0.6</v>
      </c>
      <c r="E45" s="75">
        <v>228</v>
      </c>
      <c r="F45" s="75">
        <f t="shared" si="5"/>
        <v>232.90191267962098</v>
      </c>
      <c r="G45" s="77">
        <f t="shared" si="6"/>
        <v>1.0214996170158814</v>
      </c>
    </row>
    <row r="46" spans="1:7">
      <c r="A46" s="74">
        <v>1</v>
      </c>
      <c r="B46" s="77"/>
      <c r="C46" s="74">
        <v>20</v>
      </c>
      <c r="D46" s="75">
        <v>1.2</v>
      </c>
      <c r="E46" s="75">
        <v>826</v>
      </c>
      <c r="F46" s="75">
        <f t="shared" si="5"/>
        <v>822.3328646565036</v>
      </c>
      <c r="G46" s="77">
        <f t="shared" si="6"/>
        <v>0.99556036883353949</v>
      </c>
    </row>
    <row r="47" spans="1:7">
      <c r="A47" s="74">
        <v>1</v>
      </c>
      <c r="B47" s="77" t="s">
        <v>49</v>
      </c>
      <c r="C47" s="74">
        <v>16</v>
      </c>
      <c r="D47" s="75">
        <v>0.3</v>
      </c>
      <c r="E47" s="75">
        <v>86</v>
      </c>
      <c r="F47" s="75">
        <f t="shared" si="5"/>
        <v>87.573796883038113</v>
      </c>
      <c r="G47" s="77">
        <f t="shared" si="6"/>
        <v>1.0182999637562571</v>
      </c>
    </row>
    <row r="48" spans="1:7">
      <c r="A48" s="74">
        <v>1</v>
      </c>
      <c r="B48" s="77"/>
      <c r="C48" s="74">
        <v>16</v>
      </c>
      <c r="D48" s="75">
        <v>0.6</v>
      </c>
      <c r="E48" s="75">
        <v>303</v>
      </c>
      <c r="F48" s="75">
        <f t="shared" si="5"/>
        <v>309.2066116208278</v>
      </c>
      <c r="G48" s="77">
        <f t="shared" si="6"/>
        <v>1.0204838667354053</v>
      </c>
    </row>
    <row r="49" spans="1:7">
      <c r="A49" s="74">
        <v>1</v>
      </c>
      <c r="B49" s="77"/>
      <c r="C49" s="74">
        <v>16</v>
      </c>
      <c r="D49" s="75">
        <v>1.2</v>
      </c>
      <c r="E49" s="75">
        <v>1093</v>
      </c>
      <c r="F49" s="75">
        <f t="shared" si="5"/>
        <v>1091.7504102023422</v>
      </c>
      <c r="G49" s="77">
        <f t="shared" si="6"/>
        <v>0.9988567339454183</v>
      </c>
    </row>
    <row r="50" spans="1:7">
      <c r="A50" s="74">
        <v>1</v>
      </c>
      <c r="B50" s="77" t="s">
        <v>48</v>
      </c>
      <c r="C50" s="74">
        <v>13</v>
      </c>
      <c r="D50" s="75">
        <v>0.3</v>
      </c>
      <c r="E50" s="75">
        <v>113</v>
      </c>
      <c r="F50" s="75">
        <f t="shared" si="5"/>
        <v>113.99833284546325</v>
      </c>
      <c r="G50" s="77">
        <f t="shared" si="6"/>
        <v>1.0088348039421526</v>
      </c>
    </row>
    <row r="51" spans="1:7">
      <c r="A51" s="74">
        <v>1</v>
      </c>
      <c r="B51" s="77"/>
      <c r="C51" s="74">
        <v>13</v>
      </c>
      <c r="D51" s="75">
        <v>0.6</v>
      </c>
      <c r="E51" s="75">
        <v>394</v>
      </c>
      <c r="F51" s="75">
        <f t="shared" si="5"/>
        <v>402.50667989931918</v>
      </c>
      <c r="G51" s="77">
        <f t="shared" si="6"/>
        <v>1.0215905581200995</v>
      </c>
    </row>
    <row r="52" spans="1:7">
      <c r="A52" s="74">
        <v>1</v>
      </c>
      <c r="B52" s="77"/>
      <c r="C52" s="74">
        <v>13</v>
      </c>
      <c r="D52" s="75">
        <v>1.2</v>
      </c>
      <c r="E52" s="75">
        <v>1419</v>
      </c>
      <c r="F52" s="75">
        <f t="shared" si="5"/>
        <v>1421.1754094965302</v>
      </c>
      <c r="G52" s="77">
        <f t="shared" si="6"/>
        <v>1.0015330581370896</v>
      </c>
    </row>
    <row r="53" spans="1:7">
      <c r="A53" s="74">
        <v>1</v>
      </c>
      <c r="B53" s="77" t="s">
        <v>47</v>
      </c>
      <c r="C53" s="74">
        <v>10</v>
      </c>
      <c r="D53" s="75">
        <v>0.3</v>
      </c>
      <c r="E53" s="75">
        <v>158</v>
      </c>
      <c r="F53" s="75">
        <f t="shared" si="5"/>
        <v>159.07669429772955</v>
      </c>
      <c r="G53" s="77">
        <f t="shared" si="6"/>
        <v>1.0068145208717061</v>
      </c>
    </row>
    <row r="54" spans="1:7">
      <c r="A54" s="74">
        <v>1</v>
      </c>
      <c r="B54" s="77"/>
      <c r="C54" s="74">
        <v>10</v>
      </c>
      <c r="D54" s="75">
        <v>0.6</v>
      </c>
      <c r="E54" s="75">
        <v>550</v>
      </c>
      <c r="F54" s="75">
        <f t="shared" si="5"/>
        <v>561.66989878647371</v>
      </c>
      <c r="G54" s="77">
        <f t="shared" si="6"/>
        <v>1.0212179977935885</v>
      </c>
    </row>
    <row r="55" spans="1:7">
      <c r="A55" s="74">
        <v>1</v>
      </c>
      <c r="B55" s="77"/>
      <c r="C55" s="74">
        <v>10</v>
      </c>
      <c r="D55" s="75">
        <v>1.2</v>
      </c>
      <c r="E55" s="75">
        <v>1979</v>
      </c>
      <c r="F55" s="75">
        <f t="shared" si="5"/>
        <v>1983.1508103403567</v>
      </c>
      <c r="G55" s="77">
        <f t="shared" si="6"/>
        <v>1.0020974281659205</v>
      </c>
    </row>
    <row r="56" spans="1:7">
      <c r="B56" s="77"/>
      <c r="D56" s="75"/>
      <c r="E56" s="75"/>
      <c r="F56" s="77"/>
      <c r="G56" s="77"/>
    </row>
    <row r="57" spans="1:7">
      <c r="B57" s="77"/>
      <c r="C57" s="75"/>
      <c r="D57" s="75"/>
      <c r="E57" s="75"/>
      <c r="F57" s="77"/>
      <c r="G57" s="77"/>
    </row>
    <row r="58" spans="1:7" ht="15">
      <c r="B58" s="77"/>
      <c r="C58" s="85" t="s">
        <v>18</v>
      </c>
      <c r="D58" s="84" t="s">
        <v>17</v>
      </c>
      <c r="E58" s="83" t="s">
        <v>16</v>
      </c>
      <c r="F58" s="82" t="s">
        <v>15</v>
      </c>
      <c r="G58" s="82" t="s">
        <v>14</v>
      </c>
    </row>
    <row r="59" spans="1:7" ht="15.75" thickBot="1">
      <c r="B59" s="77"/>
      <c r="C59" s="81" t="s">
        <v>4</v>
      </c>
      <c r="D59" s="80"/>
      <c r="E59" s="79"/>
      <c r="F59" s="78"/>
      <c r="G59" s="78"/>
    </row>
    <row r="60" spans="1:7">
      <c r="B60" s="77">
        <v>0.3</v>
      </c>
      <c r="C60" s="76">
        <v>25</v>
      </c>
      <c r="D60" s="75">
        <f>C60*C60*3.14/4*B60/1000</f>
        <v>0.1471875</v>
      </c>
      <c r="E60" s="76">
        <v>1</v>
      </c>
      <c r="F60" s="75">
        <f>D60/(C60*C60*3.14/4000)</f>
        <v>0.3</v>
      </c>
      <c r="G60" s="75">
        <f>E60*26500/C60^1.27*F60^1.82</f>
        <v>49.684708540455205</v>
      </c>
    </row>
    <row r="61" spans="1:7">
      <c r="B61" s="77">
        <v>0.6</v>
      </c>
      <c r="C61" s="76">
        <f>C60</f>
        <v>25</v>
      </c>
      <c r="D61" s="75">
        <f>C61*C61*3.14/4*B61/1000</f>
        <v>0.294375</v>
      </c>
      <c r="E61" s="76">
        <f>E60</f>
        <v>1</v>
      </c>
      <c r="F61" s="75">
        <f>D61/(C61*C61*3.14/4000)</f>
        <v>0.6</v>
      </c>
      <c r="G61" s="75">
        <f>E61*26500/C61^1.27*F61^1.82</f>
        <v>175.4273643939508</v>
      </c>
    </row>
    <row r="62" spans="1:7">
      <c r="B62" s="77">
        <v>1.2</v>
      </c>
      <c r="C62" s="76">
        <f>C61</f>
        <v>25</v>
      </c>
      <c r="D62" s="75">
        <f>C62*C62*3.14/4*B62/1000</f>
        <v>0.58875</v>
      </c>
      <c r="E62" s="76">
        <f>E61</f>
        <v>1</v>
      </c>
      <c r="F62" s="75">
        <f>D62/(C62*C62*3.14/4000)</f>
        <v>1.2</v>
      </c>
      <c r="G62" s="75">
        <f>E62*26500/C62^1.27*F62^1.82</f>
        <v>619.40104072765166</v>
      </c>
    </row>
  </sheetData>
  <sheetProtection selectLockedCells="1" selectUnlockedCells="1"/>
  <hyperlinks>
    <hyperlink ref="B35" r:id="rId1"/>
    <hyperlink ref="A20" r:id="rId2"/>
    <hyperlink ref="A21" r:id="rId3"/>
  </hyperlinks>
  <pageMargins left="0.78749999999999998" right="0.78749999999999998" top="1.0249999999999999" bottom="1.0249999999999999" header="0.78749999999999998" footer="0.78749999999999998"/>
  <pageSetup paperSize="9" orientation="portrait" useFirstPageNumber="1" horizontalDpi="300" verticalDpi="300"/>
  <headerFooter alignWithMargins="0">
    <oddHeader>&amp;C&amp;A</oddHeader>
    <oddFooter>&amp;CStránka &amp;P</oddFooter>
  </headerFooter>
  <drawing r:id="rId4"/>
</worksheet>
</file>

<file path=xl/worksheets/sheet17.xml><?xml version="1.0" encoding="utf-8"?>
<worksheet xmlns="http://schemas.openxmlformats.org/spreadsheetml/2006/main" xmlns:r="http://schemas.openxmlformats.org/officeDocument/2006/relationships">
  <dimension ref="A1:M143"/>
  <sheetViews>
    <sheetView topLeftCell="A28" workbookViewId="0">
      <pane ySplit="17" topLeftCell="A45" activePane="bottomLeft" state="frozen"/>
      <selection activeCell="A28" sqref="A28"/>
      <selection pane="bottomLeft" activeCell="A40" sqref="A40"/>
    </sheetView>
  </sheetViews>
  <sheetFormatPr defaultRowHeight="15"/>
  <cols>
    <col min="1" max="10" width="8.42578125" style="146" customWidth="1"/>
    <col min="11" max="16384" width="9.140625" style="146"/>
  </cols>
  <sheetData>
    <row r="1" spans="1:13">
      <c r="A1" s="146" t="s">
        <v>359</v>
      </c>
    </row>
    <row r="2" spans="1:13" ht="15.75" customHeight="1">
      <c r="A2" s="146" t="s">
        <v>240</v>
      </c>
      <c r="B2" s="146">
        <v>-1</v>
      </c>
      <c r="C2" s="146">
        <v>1E-4</v>
      </c>
      <c r="D2" s="146">
        <v>1</v>
      </c>
      <c r="E2" s="146">
        <v>5</v>
      </c>
      <c r="F2" s="146">
        <v>18</v>
      </c>
      <c r="G2" s="146">
        <v>20</v>
      </c>
      <c r="H2" s="146">
        <v>30</v>
      </c>
      <c r="I2" s="146">
        <v>40</v>
      </c>
      <c r="J2" s="146">
        <v>50</v>
      </c>
      <c r="K2" s="146">
        <v>60</v>
      </c>
    </row>
    <row r="3" spans="1:13" ht="15.75" customHeight="1">
      <c r="A3" s="71" t="s">
        <v>358</v>
      </c>
      <c r="B3" s="146">
        <v>0.26500000000000001</v>
      </c>
      <c r="C3" s="146">
        <v>0.26500000000000001</v>
      </c>
      <c r="D3" s="146">
        <v>0.26500000000000001</v>
      </c>
      <c r="E3" s="146">
        <v>0.26500000000000001</v>
      </c>
      <c r="F3" s="146">
        <v>0.26500000000000001</v>
      </c>
      <c r="G3" s="146">
        <v>0.30399999999999999</v>
      </c>
      <c r="H3" s="146">
        <v>0.51500000000000001</v>
      </c>
      <c r="I3" s="146">
        <v>0.748</v>
      </c>
      <c r="J3" s="146">
        <v>1</v>
      </c>
      <c r="K3" s="146">
        <v>1.2669999999999999</v>
      </c>
    </row>
    <row r="4" spans="1:13" ht="15.75" customHeight="1">
      <c r="A4" s="162">
        <v>1.3</v>
      </c>
      <c r="B4" s="146" t="e">
        <f t="shared" ref="B4:K4" si="0">(B$2/50)^$A4</f>
        <v>#NUM!</v>
      </c>
      <c r="C4" s="146">
        <f t="shared" si="0"/>
        <v>3.9024647992937817E-8</v>
      </c>
      <c r="D4" s="146">
        <f t="shared" si="0"/>
        <v>6.1849898942198346E-3</v>
      </c>
      <c r="E4" s="146">
        <f t="shared" si="0"/>
        <v>5.0118723362727227E-2</v>
      </c>
      <c r="F4" s="146">
        <f t="shared" si="0"/>
        <v>0.26496789221441996</v>
      </c>
      <c r="G4" s="146">
        <f t="shared" si="0"/>
        <v>0.30386311717294956</v>
      </c>
      <c r="H4" s="146">
        <f t="shared" si="0"/>
        <v>0.51475032026645695</v>
      </c>
      <c r="I4" s="146">
        <f t="shared" si="0"/>
        <v>0.74819875825809712</v>
      </c>
      <c r="J4" s="146">
        <f t="shared" si="0"/>
        <v>1</v>
      </c>
      <c r="K4" s="146">
        <f t="shared" si="0"/>
        <v>1.2674639621271098</v>
      </c>
      <c r="M4" s="146" t="s">
        <v>357</v>
      </c>
    </row>
    <row r="5" spans="1:13" ht="15.75" customHeight="1">
      <c r="A5" s="146" t="s">
        <v>356</v>
      </c>
      <c r="B5" s="146">
        <f t="shared" ref="B5:K5" si="1">((20+B2+275)^4-(20+275)^4)/((20+50+275)^4-(20+275)^4)</f>
        <v>-1.5495105708565882E-2</v>
      </c>
      <c r="C5" s="146">
        <f t="shared" si="1"/>
        <v>1.5574125242996957E-6</v>
      </c>
      <c r="D5" s="146">
        <f t="shared" si="1"/>
        <v>1.5653486866051929E-2</v>
      </c>
      <c r="E5" s="146">
        <f t="shared" si="1"/>
        <v>7.9872812272506671E-2</v>
      </c>
      <c r="F5" s="146">
        <f t="shared" si="1"/>
        <v>0.30705143411793256</v>
      </c>
      <c r="G5" s="146">
        <f t="shared" si="1"/>
        <v>0.34461447464207717</v>
      </c>
      <c r="H5" s="146">
        <f t="shared" si="1"/>
        <v>0.5434497088085416</v>
      </c>
      <c r="I5" s="146">
        <f t="shared" si="1"/>
        <v>0.7615111623392381</v>
      </c>
      <c r="J5" s="146">
        <f t="shared" si="1"/>
        <v>1</v>
      </c>
      <c r="K5" s="146">
        <f t="shared" si="1"/>
        <v>1.2601537854889591</v>
      </c>
    </row>
    <row r="6" spans="1:13" ht="15.75" customHeight="1">
      <c r="A6" s="154">
        <v>1.3</v>
      </c>
      <c r="B6" s="146">
        <f t="shared" ref="B6:K6" si="2">B$2/50*(1+B$2/50*($A6-1))/($A6)</f>
        <v>-1.5292307692307694E-2</v>
      </c>
      <c r="C6" s="146">
        <f t="shared" si="2"/>
        <v>1.5384624615384612E-6</v>
      </c>
      <c r="D6" s="146">
        <f t="shared" si="2"/>
        <v>1.5476923076923076E-2</v>
      </c>
      <c r="E6" s="146">
        <f t="shared" si="2"/>
        <v>7.923076923076923E-2</v>
      </c>
      <c r="F6" s="146">
        <f t="shared" si="2"/>
        <v>0.30683076923076924</v>
      </c>
      <c r="G6" s="146">
        <f t="shared" si="2"/>
        <v>0.34461538461538466</v>
      </c>
      <c r="H6" s="146">
        <f t="shared" si="2"/>
        <v>0.54461538461538461</v>
      </c>
      <c r="I6" s="146">
        <f t="shared" si="2"/>
        <v>0.7630769230769231</v>
      </c>
      <c r="J6" s="146">
        <f t="shared" si="2"/>
        <v>1</v>
      </c>
      <c r="K6" s="146">
        <f t="shared" si="2"/>
        <v>1.2553846153846153</v>
      </c>
      <c r="M6" s="146" t="s">
        <v>355</v>
      </c>
    </row>
    <row r="7" spans="1:13" ht="15.75" customHeight="1">
      <c r="A7" s="154">
        <v>0.12</v>
      </c>
      <c r="B7" s="146">
        <f t="shared" ref="B7:I7" si="3">B2/50+(B2-50)/50*$A7</f>
        <v>-0.1424</v>
      </c>
      <c r="C7" s="146">
        <f t="shared" si="3"/>
        <v>-0.11999775999999998</v>
      </c>
      <c r="D7" s="146">
        <f t="shared" si="3"/>
        <v>-9.7599999999999992E-2</v>
      </c>
      <c r="E7" s="146">
        <f t="shared" si="3"/>
        <v>-7.9999999999999932E-3</v>
      </c>
      <c r="F7" s="146">
        <f t="shared" si="3"/>
        <v>0.28320000000000001</v>
      </c>
      <c r="G7" s="146">
        <f t="shared" si="3"/>
        <v>0.32800000000000001</v>
      </c>
      <c r="H7" s="146">
        <f t="shared" si="3"/>
        <v>0.55199999999999994</v>
      </c>
      <c r="I7" s="146">
        <f t="shared" si="3"/>
        <v>0.77600000000000002</v>
      </c>
      <c r="J7" s="146">
        <f>J2/50+(J2-50)/50*$A7</f>
        <v>1</v>
      </c>
      <c r="K7" s="146">
        <f t="shared" ref="K7" si="4">K2/50+(K2-50)/50*$A7</f>
        <v>1.224</v>
      </c>
      <c r="M7" s="146" t="s">
        <v>360</v>
      </c>
    </row>
    <row r="8" spans="1:13" ht="15.75" customHeight="1">
      <c r="A8" s="146" t="s">
        <v>354</v>
      </c>
      <c r="B8" s="146" t="e">
        <f t="shared" ref="B8:K8" si="5">B4/B3</f>
        <v>#NUM!</v>
      </c>
      <c r="C8" s="146">
        <f t="shared" si="5"/>
        <v>1.4726282261485968E-7</v>
      </c>
      <c r="D8" s="146">
        <f t="shared" si="5"/>
        <v>2.333958450648994E-2</v>
      </c>
      <c r="E8" s="146">
        <f t="shared" si="5"/>
        <v>0.18912725797255556</v>
      </c>
      <c r="F8" s="146">
        <f t="shared" si="5"/>
        <v>0.99987883854498094</v>
      </c>
      <c r="G8" s="146">
        <f t="shared" si="5"/>
        <v>0.9995497275425973</v>
      </c>
      <c r="H8" s="146">
        <f t="shared" si="5"/>
        <v>0.99951518498341152</v>
      </c>
      <c r="I8" s="146">
        <f t="shared" si="5"/>
        <v>1.0002657195963864</v>
      </c>
      <c r="J8" s="146">
        <f t="shared" si="5"/>
        <v>1</v>
      </c>
      <c r="K8" s="146">
        <f t="shared" si="5"/>
        <v>1.0003661895241593</v>
      </c>
    </row>
    <row r="9" spans="1:13" ht="15.75" customHeight="1">
      <c r="A9" s="146" t="s">
        <v>353</v>
      </c>
      <c r="B9" s="146">
        <f t="shared" ref="B9:K9" si="6">B6/B3</f>
        <v>-5.7706821480406387E-2</v>
      </c>
      <c r="C9" s="146">
        <f t="shared" si="6"/>
        <v>5.8055187227866459E-6</v>
      </c>
      <c r="D9" s="146">
        <f t="shared" si="6"/>
        <v>5.8403483309143682E-2</v>
      </c>
      <c r="E9" s="146">
        <f t="shared" si="6"/>
        <v>0.29898403483309144</v>
      </c>
      <c r="F9" s="146">
        <f t="shared" si="6"/>
        <v>1.1578519593613934</v>
      </c>
      <c r="G9" s="146">
        <f t="shared" si="6"/>
        <v>1.133603238866397</v>
      </c>
      <c r="H9" s="146">
        <f t="shared" si="6"/>
        <v>1.0575056011949215</v>
      </c>
      <c r="I9" s="146">
        <f t="shared" si="6"/>
        <v>1.0201563142739614</v>
      </c>
      <c r="J9" s="146">
        <f t="shared" si="6"/>
        <v>1</v>
      </c>
      <c r="K9" s="146">
        <f t="shared" si="6"/>
        <v>0.99083237204784169</v>
      </c>
    </row>
    <row r="10" spans="1:13" ht="15.75" customHeight="1">
      <c r="A10" s="146" t="s">
        <v>352</v>
      </c>
      <c r="B10" s="146">
        <f t="shared" ref="B10:K10" si="7">B6/B5</f>
        <v>0.98691212437833975</v>
      </c>
      <c r="C10" s="146">
        <f t="shared" si="7"/>
        <v>0.98783234212800775</v>
      </c>
      <c r="D10" s="146">
        <f t="shared" si="7"/>
        <v>0.98872048185559402</v>
      </c>
      <c r="E10" s="146">
        <f t="shared" si="7"/>
        <v>0.99196168228624593</v>
      </c>
      <c r="F10" s="146">
        <f t="shared" si="7"/>
        <v>0.99928134226828402</v>
      </c>
      <c r="G10" s="146">
        <f t="shared" si="7"/>
        <v>1.0000026405545166</v>
      </c>
      <c r="H10" s="146">
        <f t="shared" si="7"/>
        <v>1.002144956171563</v>
      </c>
      <c r="I10" s="146">
        <f t="shared" si="7"/>
        <v>1.0020561231602636</v>
      </c>
      <c r="J10" s="146">
        <f t="shared" si="7"/>
        <v>1</v>
      </c>
      <c r="K10" s="146">
        <f t="shared" si="7"/>
        <v>0.99621540627877159</v>
      </c>
    </row>
    <row r="11" spans="1:13">
      <c r="A11" s="146" t="s">
        <v>351</v>
      </c>
    </row>
    <row r="31" spans="1:9">
      <c r="C31" s="163">
        <f>1/C32*A34</f>
        <v>5.5555555555555559E-2</v>
      </c>
      <c r="I31" s="146">
        <v>38.094255079054861</v>
      </c>
    </row>
    <row r="32" spans="1:9">
      <c r="A32" s="146" t="s">
        <v>361</v>
      </c>
      <c r="B32" s="146">
        <v>2.5000000000000002E-10</v>
      </c>
      <c r="C32" s="154">
        <v>2.5000000000000001E-2</v>
      </c>
      <c r="I32" s="146">
        <v>37.153704569937567</v>
      </c>
    </row>
    <row r="33" spans="1:12">
      <c r="A33" s="146">
        <v>3.2599999999999997E-2</v>
      </c>
      <c r="B33" s="146">
        <v>1</v>
      </c>
      <c r="C33" s="146">
        <v>1</v>
      </c>
      <c r="E33" s="146" t="s">
        <v>365</v>
      </c>
    </row>
    <row r="34" spans="1:12">
      <c r="A34" s="163">
        <v>1.3888888888888889E-3</v>
      </c>
      <c r="B34" s="165">
        <f>B32*B33</f>
        <v>2.5000000000000002E-10</v>
      </c>
      <c r="C34" s="166">
        <f>C32*C33</f>
        <v>2.5000000000000001E-2</v>
      </c>
      <c r="D34" s="171">
        <v>5.5555555555555552E-2</v>
      </c>
      <c r="E34" s="165">
        <v>29.5</v>
      </c>
      <c r="F34" s="166">
        <f t="shared" ref="F34:G34" si="8">E34</f>
        <v>29.5</v>
      </c>
      <c r="G34" s="167">
        <f t="shared" si="8"/>
        <v>29.5</v>
      </c>
      <c r="H34" s="154">
        <v>1</v>
      </c>
      <c r="I34" s="146">
        <v>37.799999999999997</v>
      </c>
      <c r="J34" s="146">
        <v>1.3</v>
      </c>
      <c r="L34" s="173">
        <v>6.0000000000000001E-3</v>
      </c>
    </row>
    <row r="35" spans="1:12">
      <c r="B35" s="168">
        <v>20</v>
      </c>
      <c r="C35" s="172">
        <v>20</v>
      </c>
      <c r="D35" s="170">
        <f>B35</f>
        <v>20</v>
      </c>
      <c r="E35" s="168">
        <f t="shared" ref="E35" si="9">D35</f>
        <v>20</v>
      </c>
      <c r="F35" s="169">
        <f>E35</f>
        <v>20</v>
      </c>
      <c r="G35" s="170">
        <f t="shared" ref="G35" si="10">F35</f>
        <v>20</v>
      </c>
      <c r="H35" s="146">
        <v>20</v>
      </c>
      <c r="J35" s="146">
        <v>20</v>
      </c>
    </row>
    <row r="36" spans="1:12">
      <c r="B36" s="92" t="s">
        <v>362</v>
      </c>
      <c r="C36" s="92" t="s">
        <v>364</v>
      </c>
      <c r="D36" s="146" t="s">
        <v>354</v>
      </c>
      <c r="E36" s="146" t="s">
        <v>3</v>
      </c>
      <c r="F36" s="146" t="s">
        <v>363</v>
      </c>
    </row>
    <row r="37" spans="1:12">
      <c r="A37" s="163">
        <v>0</v>
      </c>
      <c r="B37" s="146">
        <v>170</v>
      </c>
      <c r="C37" s="146">
        <v>100</v>
      </c>
      <c r="D37" s="164">
        <v>100</v>
      </c>
    </row>
    <row r="38" spans="1:12">
      <c r="A38" s="163">
        <f>A37+A$34</f>
        <v>1.3888888888888889E-3</v>
      </c>
      <c r="B38" s="146">
        <f>B37-((B37+273)^4-(B$35+273)^4)*B$34</f>
        <v>162.2140952</v>
      </c>
      <c r="C38" s="146">
        <f>C37-(C37-C$35)*C$32</f>
        <v>98</v>
      </c>
      <c r="D38" s="164">
        <f>D$35+(D$37-D$35)*EXP(($A$37-$A38)/D$34)</f>
        <v>98.024792962266616</v>
      </c>
      <c r="E38" s="146">
        <f>(B37-B38)*E$34</f>
        <v>229.68419159999991</v>
      </c>
      <c r="F38" s="146">
        <f t="shared" ref="F38:F101" si="11">(C37-C38)*F$34</f>
        <v>59</v>
      </c>
      <c r="G38" s="146">
        <f t="shared" ref="G38:G101" si="12">(D37-D38)*G$34</f>
        <v>58.268607613134819</v>
      </c>
      <c r="H38" s="146">
        <f>((C38-H$35)/50)^H$34</f>
        <v>1.56</v>
      </c>
      <c r="I38" s="146">
        <f>F38/I$34</f>
        <v>1.5608465608465609</v>
      </c>
      <c r="J38" s="146">
        <f>((C38-H$35)/50)^J$34</f>
        <v>1.782633147622205</v>
      </c>
      <c r="K38" s="146">
        <f>J38/H38</f>
        <v>1.1427135561680801</v>
      </c>
      <c r="L38" s="146">
        <f>1+(D38-70)*L$34</f>
        <v>1.1681487577735996</v>
      </c>
    </row>
    <row r="39" spans="1:12">
      <c r="A39" s="163">
        <f t="shared" ref="A39:A65" si="13">A38+A$34</f>
        <v>2.7777777777777779E-3</v>
      </c>
      <c r="B39" s="146">
        <f t="shared" ref="B39:B102" si="14">B38-((B38+273)^4-(B$35+273)^4)*B$34</f>
        <v>155.08744693810507</v>
      </c>
      <c r="C39" s="146">
        <f t="shared" ref="C39:C102" si="15">C38-(C38-C$35)*C$32</f>
        <v>96.05</v>
      </c>
      <c r="D39" s="164">
        <f t="shared" ref="D39:D102" si="16">D$35+(D$37-D$35)*EXP(($A$37-$A39)/D$34)</f>
        <v>96.098353960057125</v>
      </c>
      <c r="E39" s="146">
        <f t="shared" ref="E39:E102" si="17">(B38-B39)*E$34</f>
        <v>210.23612372590037</v>
      </c>
      <c r="F39" s="146">
        <f t="shared" si="11"/>
        <v>57.525000000000084</v>
      </c>
      <c r="G39" s="146">
        <f t="shared" si="12"/>
        <v>56.829950565179999</v>
      </c>
      <c r="H39" s="146">
        <f t="shared" ref="H39:H102" si="18">((C39-H$35)/50)^H$34</f>
        <v>1.5209999999999999</v>
      </c>
      <c r="I39" s="146">
        <f t="shared" ref="I39:I102" si="19">F39/I$34</f>
        <v>1.5218253968253992</v>
      </c>
      <c r="J39" s="146">
        <f t="shared" ref="J39:J102" si="20">((C39-H$35)/50)^J$34</f>
        <v>1.724916109730233</v>
      </c>
      <c r="K39" s="146">
        <f t="shared" ref="K39:K102" si="21">J39/H39</f>
        <v>1.1340671332874643</v>
      </c>
      <c r="L39" s="146">
        <f t="shared" ref="L39:L102" si="22">1+(D39-70)*L$34</f>
        <v>1.1565901237603429</v>
      </c>
    </row>
    <row r="40" spans="1:12">
      <c r="A40" s="163">
        <f t="shared" si="13"/>
        <v>4.1666666666666666E-3</v>
      </c>
      <c r="B40" s="146">
        <f t="shared" si="14"/>
        <v>148.53400699226444</v>
      </c>
      <c r="C40" s="146">
        <f t="shared" si="15"/>
        <v>94.148749999999993</v>
      </c>
      <c r="D40" s="164">
        <f t="shared" si="16"/>
        <v>94.219478906284223</v>
      </c>
      <c r="E40" s="146">
        <f t="shared" si="17"/>
        <v>193.32647840229879</v>
      </c>
      <c r="F40" s="146">
        <f t="shared" si="11"/>
        <v>56.086875000000134</v>
      </c>
      <c r="G40" s="146">
        <f t="shared" si="12"/>
        <v>55.426814086300595</v>
      </c>
      <c r="H40" s="146">
        <f t="shared" si="18"/>
        <v>1.4829749999999999</v>
      </c>
      <c r="I40" s="146">
        <f t="shared" si="19"/>
        <v>1.4837797619047655</v>
      </c>
      <c r="J40" s="146">
        <f t="shared" si="20"/>
        <v>1.6690677998305952</v>
      </c>
      <c r="K40" s="146">
        <f t="shared" si="21"/>
        <v>1.1254861341766349</v>
      </c>
      <c r="L40" s="146">
        <f t="shared" si="22"/>
        <v>1.1453168734377053</v>
      </c>
    </row>
    <row r="41" spans="1:12">
      <c r="A41" s="163">
        <f t="shared" si="13"/>
        <v>5.5555555555555558E-3</v>
      </c>
      <c r="B41" s="146">
        <f t="shared" si="14"/>
        <v>142.48300401422122</v>
      </c>
      <c r="C41" s="146">
        <f t="shared" si="15"/>
        <v>92.295031249999994</v>
      </c>
      <c r="D41" s="164">
        <f t="shared" si="16"/>
        <v>92.386993442876758</v>
      </c>
      <c r="E41" s="146">
        <f t="shared" si="17"/>
        <v>178.50458785227482</v>
      </c>
      <c r="F41" s="146">
        <f t="shared" si="11"/>
        <v>54.684703124999963</v>
      </c>
      <c r="G41" s="146">
        <f t="shared" si="12"/>
        <v>54.05832117052023</v>
      </c>
      <c r="H41" s="146">
        <f t="shared" si="18"/>
        <v>1.4459006249999999</v>
      </c>
      <c r="I41" s="146">
        <f t="shared" si="19"/>
        <v>1.446685267857142</v>
      </c>
      <c r="J41" s="146">
        <f t="shared" si="20"/>
        <v>1.6150277133576216</v>
      </c>
      <c r="K41" s="146">
        <f t="shared" si="21"/>
        <v>1.1169700638020139</v>
      </c>
      <c r="L41" s="146">
        <f t="shared" si="22"/>
        <v>1.1343219606572605</v>
      </c>
    </row>
    <row r="42" spans="1:12">
      <c r="A42" s="163">
        <f t="shared" si="13"/>
        <v>6.9444444444444449E-3</v>
      </c>
      <c r="B42" s="146">
        <f t="shared" si="14"/>
        <v>136.87557181611109</v>
      </c>
      <c r="C42" s="146">
        <f t="shared" si="15"/>
        <v>90.487655468749992</v>
      </c>
      <c r="D42" s="164">
        <f t="shared" si="16"/>
        <v>90.599752206767633</v>
      </c>
      <c r="E42" s="146">
        <f t="shared" si="17"/>
        <v>165.4192498442489</v>
      </c>
      <c r="F42" s="146">
        <f t="shared" si="11"/>
        <v>53.317585546875058</v>
      </c>
      <c r="G42" s="146">
        <f t="shared" si="12"/>
        <v>52.723616465219187</v>
      </c>
      <c r="H42" s="146">
        <f t="shared" si="18"/>
        <v>1.4097531093749998</v>
      </c>
      <c r="I42" s="146">
        <f t="shared" si="19"/>
        <v>1.410518136160716</v>
      </c>
      <c r="J42" s="146">
        <f t="shared" si="20"/>
        <v>1.5627373047265567</v>
      </c>
      <c r="K42" s="146">
        <f t="shared" si="21"/>
        <v>1.1085184308757303</v>
      </c>
      <c r="L42" s="146">
        <f t="shared" si="22"/>
        <v>1.1235985132406059</v>
      </c>
    </row>
    <row r="43" spans="1:12">
      <c r="A43" s="163">
        <f t="shared" si="13"/>
        <v>8.3333333333333332E-3</v>
      </c>
      <c r="B43" s="146">
        <f t="shared" si="14"/>
        <v>131.66225382813235</v>
      </c>
      <c r="C43" s="146">
        <f t="shared" si="15"/>
        <v>88.725464082031237</v>
      </c>
      <c r="D43" s="164">
        <f t="shared" si="16"/>
        <v>88.856638114004625</v>
      </c>
      <c r="E43" s="146">
        <f t="shared" si="17"/>
        <v>153.79288064537286</v>
      </c>
      <c r="F43" s="146">
        <f t="shared" si="11"/>
        <v>51.984645908203255</v>
      </c>
      <c r="G43" s="146">
        <f t="shared" si="12"/>
        <v>51.421865736508742</v>
      </c>
      <c r="H43" s="146">
        <f t="shared" si="18"/>
        <v>1.3745092816406248</v>
      </c>
      <c r="I43" s="146">
        <f t="shared" si="19"/>
        <v>1.3752551827566999</v>
      </c>
      <c r="J43" s="146">
        <f t="shared" si="20"/>
        <v>1.5121399239068347</v>
      </c>
      <c r="K43" s="146">
        <f t="shared" si="21"/>
        <v>1.1001307478272777</v>
      </c>
      <c r="L43" s="146">
        <f t="shared" si="22"/>
        <v>1.1131398286840277</v>
      </c>
    </row>
    <row r="44" spans="1:12">
      <c r="A44" s="163">
        <f t="shared" si="13"/>
        <v>9.7222222222222224E-3</v>
      </c>
      <c r="B44" s="146">
        <f t="shared" si="14"/>
        <v>126.80112484204122</v>
      </c>
      <c r="C44" s="146">
        <f t="shared" si="15"/>
        <v>87.007327479980461</v>
      </c>
      <c r="D44" s="164">
        <f t="shared" si="16"/>
        <v>87.156561661536585</v>
      </c>
      <c r="E44" s="146">
        <f t="shared" si="17"/>
        <v>143.40330508968839</v>
      </c>
      <c r="F44" s="146">
        <f t="shared" si="11"/>
        <v>50.685029760497912</v>
      </c>
      <c r="G44" s="146">
        <f t="shared" si="12"/>
        <v>50.152255347807156</v>
      </c>
      <c r="H44" s="146">
        <f t="shared" si="18"/>
        <v>1.3401465495996092</v>
      </c>
      <c r="I44" s="146">
        <f t="shared" si="19"/>
        <v>1.3408738031877756</v>
      </c>
      <c r="J44" s="146">
        <f t="shared" si="20"/>
        <v>1.4631807550489524</v>
      </c>
      <c r="K44" s="146">
        <f t="shared" si="21"/>
        <v>1.0918065307753855</v>
      </c>
      <c r="L44" s="146">
        <f t="shared" si="22"/>
        <v>1.1029393699692196</v>
      </c>
    </row>
    <row r="45" spans="1:12">
      <c r="A45" s="163">
        <f t="shared" si="13"/>
        <v>1.1111111111111112E-2</v>
      </c>
      <c r="B45" s="146">
        <f t="shared" si="14"/>
        <v>122.25635606322767</v>
      </c>
      <c r="C45" s="146">
        <f t="shared" si="15"/>
        <v>85.332144292980956</v>
      </c>
      <c r="D45" s="164">
        <f t="shared" si="16"/>
        <v>85.498460246238551</v>
      </c>
      <c r="E45" s="146">
        <f t="shared" si="17"/>
        <v>134.07067897499968</v>
      </c>
      <c r="F45" s="146">
        <f t="shared" si="11"/>
        <v>49.41790401648538</v>
      </c>
      <c r="G45" s="146">
        <f t="shared" si="12"/>
        <v>48.913991751292016</v>
      </c>
      <c r="H45" s="146">
        <f t="shared" si="18"/>
        <v>1.3066428858596191</v>
      </c>
      <c r="I45" s="146">
        <f t="shared" si="19"/>
        <v>1.307351958108079</v>
      </c>
      <c r="J45" s="146">
        <f t="shared" si="20"/>
        <v>1.4158067570984434</v>
      </c>
      <c r="K45" s="146">
        <f t="shared" si="21"/>
        <v>1.0835452995001058</v>
      </c>
      <c r="L45" s="146">
        <f t="shared" si="22"/>
        <v>1.0929907614774312</v>
      </c>
    </row>
    <row r="46" spans="1:12">
      <c r="A46" s="163">
        <f t="shared" si="13"/>
        <v>1.2500000000000001E-2</v>
      </c>
      <c r="B46" s="146">
        <f t="shared" si="14"/>
        <v>117.99710402786236</v>
      </c>
      <c r="C46" s="146">
        <f t="shared" si="15"/>
        <v>83.698840685656435</v>
      </c>
      <c r="D46" s="164">
        <f t="shared" si="16"/>
        <v>83.881297500750165</v>
      </c>
      <c r="E46" s="146">
        <f t="shared" si="17"/>
        <v>125.64793504327656</v>
      </c>
      <c r="F46" s="146">
        <f t="shared" si="11"/>
        <v>48.182456416073371</v>
      </c>
      <c r="G46" s="146">
        <f t="shared" si="12"/>
        <v>47.706300991907391</v>
      </c>
      <c r="H46" s="146">
        <f t="shared" si="18"/>
        <v>1.2739768137131287</v>
      </c>
      <c r="I46" s="146">
        <f t="shared" si="19"/>
        <v>1.2746681591553803</v>
      </c>
      <c r="J46" s="146">
        <f t="shared" si="20"/>
        <v>1.3699666063326177</v>
      </c>
      <c r="K46" s="146">
        <f t="shared" si="21"/>
        <v>1.0753465774151081</v>
      </c>
      <c r="L46" s="146">
        <f t="shared" si="22"/>
        <v>1.0832877850045011</v>
      </c>
    </row>
    <row r="47" spans="1:12">
      <c r="A47" s="163">
        <f t="shared" si="13"/>
        <v>1.388888888888889E-2</v>
      </c>
      <c r="B47" s="146">
        <f t="shared" si="14"/>
        <v>113.99663979693364</v>
      </c>
      <c r="C47" s="146">
        <f t="shared" si="15"/>
        <v>82.106369668515029</v>
      </c>
      <c r="D47" s="164">
        <f t="shared" si="16"/>
        <v>82.304062645712392</v>
      </c>
      <c r="E47" s="146">
        <f t="shared" si="17"/>
        <v>118.01369481239746</v>
      </c>
      <c r="F47" s="146">
        <f t="shared" si="11"/>
        <v>46.977895005671485</v>
      </c>
      <c r="G47" s="146">
        <f t="shared" si="12"/>
        <v>46.528428223614299</v>
      </c>
      <c r="H47" s="146">
        <f t="shared" si="18"/>
        <v>1.2421273933703005</v>
      </c>
      <c r="I47" s="146">
        <f t="shared" si="19"/>
        <v>1.2428014551764943</v>
      </c>
      <c r="J47" s="146">
        <f t="shared" si="20"/>
        <v>1.3256106407578134</v>
      </c>
      <c r="K47" s="146">
        <f t="shared" si="21"/>
        <v>1.0672098915401869</v>
      </c>
      <c r="L47" s="146">
        <f t="shared" si="22"/>
        <v>1.0738243758742743</v>
      </c>
    </row>
    <row r="48" spans="1:12">
      <c r="A48" s="163">
        <f t="shared" si="13"/>
        <v>1.5277777777777779E-2</v>
      </c>
      <c r="B48" s="146">
        <f t="shared" si="14"/>
        <v>110.23165891379303</v>
      </c>
      <c r="C48" s="146">
        <f t="shared" si="15"/>
        <v>80.553710426802155</v>
      </c>
      <c r="D48" s="164">
        <f t="shared" si="16"/>
        <v>80.765769857997469</v>
      </c>
      <c r="E48" s="146">
        <f t="shared" si="17"/>
        <v>111.06693605264797</v>
      </c>
      <c r="F48" s="146">
        <f t="shared" si="11"/>
        <v>45.803447630529782</v>
      </c>
      <c r="G48" s="146">
        <f t="shared" si="12"/>
        <v>45.379637237590224</v>
      </c>
      <c r="H48" s="146">
        <f t="shared" si="18"/>
        <v>1.2110742085360431</v>
      </c>
      <c r="I48" s="146">
        <f t="shared" si="19"/>
        <v>1.2117314187970842</v>
      </c>
      <c r="J48" s="146">
        <f t="shared" si="20"/>
        <v>1.2826908063069202</v>
      </c>
      <c r="K48" s="146">
        <f t="shared" si="21"/>
        <v>1.0591347724739741</v>
      </c>
      <c r="L48" s="146">
        <f t="shared" si="22"/>
        <v>1.0645946191479849</v>
      </c>
    </row>
    <row r="49" spans="1:12">
      <c r="A49" s="163">
        <f t="shared" si="13"/>
        <v>1.6666666666666666E-2</v>
      </c>
      <c r="B49" s="146">
        <f t="shared" si="14"/>
        <v>106.6817290858282</v>
      </c>
      <c r="C49" s="146">
        <f t="shared" si="15"/>
        <v>79.039867666132096</v>
      </c>
      <c r="D49" s="164">
        <f t="shared" si="16"/>
        <v>79.265457654537428</v>
      </c>
      <c r="E49" s="146">
        <f t="shared" si="17"/>
        <v>104.72292992496253</v>
      </c>
      <c r="F49" s="146">
        <f t="shared" si="11"/>
        <v>44.658361439766736</v>
      </c>
      <c r="G49" s="146">
        <f t="shared" si="12"/>
        <v>44.259210002071207</v>
      </c>
      <c r="H49" s="146">
        <f t="shared" si="18"/>
        <v>1.1807973533226419</v>
      </c>
      <c r="I49" s="146">
        <f t="shared" si="19"/>
        <v>1.1814381333271624</v>
      </c>
      <c r="J49" s="146">
        <f t="shared" si="20"/>
        <v>1.2411606047788881</v>
      </c>
      <c r="K49" s="146">
        <f t="shared" si="21"/>
        <v>1.0511207543668608</v>
      </c>
      <c r="L49" s="146">
        <f t="shared" si="22"/>
        <v>1.0555927459272245</v>
      </c>
    </row>
    <row r="50" spans="1:12">
      <c r="A50" s="163">
        <f t="shared" si="13"/>
        <v>1.8055555555555554E-2</v>
      </c>
      <c r="B50" s="146">
        <f t="shared" si="14"/>
        <v>103.32884401913437</v>
      </c>
      <c r="C50" s="146">
        <f t="shared" si="15"/>
        <v>77.563870974478789</v>
      </c>
      <c r="D50" s="164">
        <f t="shared" si="16"/>
        <v>77.802188291365781</v>
      </c>
      <c r="E50" s="146">
        <f t="shared" si="17"/>
        <v>98.910109467467976</v>
      </c>
      <c r="F50" s="146">
        <f t="shared" si="11"/>
        <v>43.541902403772568</v>
      </c>
      <c r="G50" s="146">
        <f t="shared" si="12"/>
        <v>43.16644621356361</v>
      </c>
      <c r="H50" s="146">
        <f t="shared" si="18"/>
        <v>1.1512774194895758</v>
      </c>
      <c r="I50" s="146">
        <f t="shared" si="19"/>
        <v>1.1519021799939833</v>
      </c>
      <c r="J50" s="146">
        <f t="shared" si="20"/>
        <v>1.2009750434638196</v>
      </c>
      <c r="K50" s="146">
        <f t="shared" si="21"/>
        <v>1.0431673748941219</v>
      </c>
      <c r="L50" s="146">
        <f t="shared" si="22"/>
        <v>1.0468131297481946</v>
      </c>
    </row>
    <row r="51" spans="1:12">
      <c r="A51" s="163">
        <f t="shared" si="13"/>
        <v>1.9444444444444441E-2</v>
      </c>
      <c r="B51" s="146">
        <f t="shared" si="14"/>
        <v>100.15705994458085</v>
      </c>
      <c r="C51" s="146">
        <f t="shared" si="15"/>
        <v>76.124774200116818</v>
      </c>
      <c r="D51" s="164">
        <f t="shared" si="16"/>
        <v>76.375047177497066</v>
      </c>
      <c r="E51" s="146">
        <f t="shared" si="17"/>
        <v>93.567630199328676</v>
      </c>
      <c r="F51" s="146">
        <f t="shared" si="11"/>
        <v>42.453354843678149</v>
      </c>
      <c r="G51" s="146">
        <f t="shared" si="12"/>
        <v>42.10066285912707</v>
      </c>
      <c r="H51" s="146">
        <f t="shared" si="18"/>
        <v>1.1224954840023365</v>
      </c>
      <c r="I51" s="146">
        <f t="shared" si="19"/>
        <v>1.123104625494131</v>
      </c>
      <c r="J51" s="146">
        <f t="shared" si="20"/>
        <v>1.1620905863990709</v>
      </c>
      <c r="K51" s="146">
        <f t="shared" si="21"/>
        <v>1.0352741752292449</v>
      </c>
      <c r="L51" s="146">
        <f t="shared" si="22"/>
        <v>1.0382502830649825</v>
      </c>
    </row>
    <row r="52" spans="1:12">
      <c r="A52" s="163">
        <f t="shared" si="13"/>
        <v>2.0833333333333329E-2</v>
      </c>
      <c r="B52" s="146">
        <f t="shared" si="14"/>
        <v>97.15219719092056</v>
      </c>
      <c r="C52" s="146">
        <f t="shared" si="15"/>
        <v>74.721654845113903</v>
      </c>
      <c r="D52" s="164">
        <f t="shared" si="16"/>
        <v>74.983142303277788</v>
      </c>
      <c r="E52" s="146">
        <f t="shared" si="17"/>
        <v>88.643451232978578</v>
      </c>
      <c r="F52" s="146">
        <f t="shared" si="11"/>
        <v>41.392020972585975</v>
      </c>
      <c r="G52" s="146">
        <f t="shared" si="12"/>
        <v>41.061193789468717</v>
      </c>
      <c r="H52" s="146">
        <f t="shared" si="18"/>
        <v>1.094433096902278</v>
      </c>
      <c r="I52" s="146">
        <f t="shared" si="19"/>
        <v>1.0950270098567718</v>
      </c>
      <c r="J52" s="146">
        <f t="shared" si="20"/>
        <v>1.1244651072035534</v>
      </c>
      <c r="K52" s="146">
        <f t="shared" si="21"/>
        <v>1.0274407000174604</v>
      </c>
      <c r="L52" s="146">
        <f t="shared" si="22"/>
        <v>1.0298988538196667</v>
      </c>
    </row>
    <row r="53" spans="1:12">
      <c r="A53" s="163">
        <f t="shared" si="13"/>
        <v>2.2222222222222216E-2</v>
      </c>
      <c r="B53" s="146">
        <f t="shared" si="14"/>
        <v>94.301593388829986</v>
      </c>
      <c r="C53" s="146">
        <f t="shared" si="15"/>
        <v>73.353613473986059</v>
      </c>
      <c r="D53" s="164">
        <f t="shared" si="16"/>
        <v>73.62560368285115</v>
      </c>
      <c r="E53" s="146">
        <f t="shared" si="17"/>
        <v>84.092812161671958</v>
      </c>
      <c r="F53" s="146">
        <f t="shared" si="11"/>
        <v>40.35722044827142</v>
      </c>
      <c r="G53" s="146">
        <f t="shared" si="12"/>
        <v>40.04738930258582</v>
      </c>
      <c r="H53" s="146">
        <f t="shared" si="18"/>
        <v>1.0670722694797212</v>
      </c>
      <c r="I53" s="146">
        <f t="shared" si="19"/>
        <v>1.0676513346103551</v>
      </c>
      <c r="J53" s="146">
        <f t="shared" si="20"/>
        <v>1.0880578434391406</v>
      </c>
      <c r="K53" s="146">
        <f t="shared" si="21"/>
        <v>1.0196664973494733</v>
      </c>
      <c r="L53" s="146">
        <f t="shared" si="22"/>
        <v>1.0217536220971069</v>
      </c>
    </row>
    <row r="54" spans="1:12">
      <c r="A54" s="163">
        <f t="shared" si="13"/>
        <v>2.3611111111111104E-2</v>
      </c>
      <c r="B54" s="146">
        <f t="shared" si="14"/>
        <v>91.593898000596539</v>
      </c>
      <c r="C54" s="146">
        <f t="shared" si="15"/>
        <v>72.019773137136411</v>
      </c>
      <c r="D54" s="164">
        <f t="shared" si="16"/>
        <v>72.301582810387799</v>
      </c>
      <c r="E54" s="146">
        <f t="shared" si="17"/>
        <v>79.877013952886671</v>
      </c>
      <c r="F54" s="146">
        <f t="shared" si="11"/>
        <v>39.348289937064592</v>
      </c>
      <c r="G54" s="146">
        <f t="shared" si="12"/>
        <v>39.058615737668838</v>
      </c>
      <c r="H54" s="146">
        <f t="shared" si="18"/>
        <v>1.0403954627427283</v>
      </c>
      <c r="I54" s="146">
        <f t="shared" si="19"/>
        <v>1.0409600512450952</v>
      </c>
      <c r="J54" s="146">
        <f t="shared" si="20"/>
        <v>1.0528293524497299</v>
      </c>
      <c r="K54" s="146">
        <f t="shared" si="21"/>
        <v>1.011951118735392</v>
      </c>
      <c r="L54" s="146">
        <f t="shared" si="22"/>
        <v>1.0138094968623268</v>
      </c>
    </row>
    <row r="55" spans="1:12">
      <c r="A55" s="163">
        <f t="shared" si="13"/>
        <v>2.4999999999999991E-2</v>
      </c>
      <c r="B55" s="146">
        <f t="shared" si="14"/>
        <v>89.018900184755466</v>
      </c>
      <c r="C55" s="146">
        <f t="shared" si="15"/>
        <v>70.719278808707998</v>
      </c>
      <c r="D55" s="164">
        <f t="shared" si="16"/>
        <v>71.010252129741872</v>
      </c>
      <c r="E55" s="146">
        <f t="shared" si="17"/>
        <v>75.962435567311644</v>
      </c>
      <c r="F55" s="146">
        <f t="shared" si="11"/>
        <v>38.364582688638208</v>
      </c>
      <c r="G55" s="146">
        <f t="shared" si="12"/>
        <v>38.094255079054861</v>
      </c>
      <c r="H55" s="146">
        <f t="shared" si="18"/>
        <v>1.01438557617416</v>
      </c>
      <c r="I55" s="146">
        <f t="shared" si="19"/>
        <v>1.0149360499639739</v>
      </c>
      <c r="J55" s="146">
        <f t="shared" si="20"/>
        <v>1.0187414686301257</v>
      </c>
      <c r="K55" s="146">
        <f t="shared" si="21"/>
        <v>1.0042941190788559</v>
      </c>
      <c r="L55" s="146">
        <f t="shared" si="22"/>
        <v>1.0060615127784511</v>
      </c>
    </row>
    <row r="56" spans="1:12">
      <c r="A56" s="163">
        <f t="shared" si="13"/>
        <v>2.6388888888888878E-2</v>
      </c>
      <c r="B56" s="146">
        <f t="shared" si="14"/>
        <v>86.567383745182696</v>
      </c>
      <c r="C56" s="146">
        <f t="shared" si="15"/>
        <v>69.451296838490293</v>
      </c>
      <c r="D56" s="164">
        <f t="shared" si="16"/>
        <v>69.750804517201615</v>
      </c>
      <c r="E56" s="146">
        <f t="shared" si="17"/>
        <v>72.319734967396741</v>
      </c>
      <c r="F56" s="146">
        <f t="shared" si="11"/>
        <v>37.405468121422274</v>
      </c>
      <c r="G56" s="146">
        <f t="shared" si="12"/>
        <v>37.153704569937567</v>
      </c>
      <c r="H56" s="146">
        <f t="shared" si="18"/>
        <v>0.98902593676980588</v>
      </c>
      <c r="I56" s="146">
        <f t="shared" si="19"/>
        <v>0.98956264871487509</v>
      </c>
      <c r="J56" s="146">
        <f t="shared" si="20"/>
        <v>0.98575726207844228</v>
      </c>
      <c r="K56" s="146">
        <f t="shared" si="21"/>
        <v>0.99669505665135616</v>
      </c>
      <c r="L56" s="146">
        <f t="shared" si="22"/>
        <v>0.99850482710320965</v>
      </c>
    </row>
    <row r="57" spans="1:12">
      <c r="A57" s="163">
        <f t="shared" si="13"/>
        <v>2.7777777777777766E-2</v>
      </c>
      <c r="B57" s="146">
        <f t="shared" si="14"/>
        <v>84.231004235270277</v>
      </c>
      <c r="C57" s="146">
        <f t="shared" si="15"/>
        <v>68.215014417528039</v>
      </c>
      <c r="D57" s="164">
        <f t="shared" si="16"/>
        <v>68.522452777010685</v>
      </c>
      <c r="E57" s="146">
        <f t="shared" si="17"/>
        <v>68.923195542416352</v>
      </c>
      <c r="F57" s="146">
        <f t="shared" si="11"/>
        <v>36.470331418386507</v>
      </c>
      <c r="G57" s="146">
        <f t="shared" si="12"/>
        <v>36.236376335632457</v>
      </c>
      <c r="H57" s="146">
        <f t="shared" si="18"/>
        <v>0.96430028835056081</v>
      </c>
      <c r="I57" s="146">
        <f t="shared" si="19"/>
        <v>0.96482358249699762</v>
      </c>
      <c r="J57" s="146">
        <f t="shared" si="20"/>
        <v>0.95384099858723659</v>
      </c>
      <c r="K57" s="146">
        <f t="shared" si="21"/>
        <v>0.98915349306675526</v>
      </c>
      <c r="L57" s="146">
        <f t="shared" si="22"/>
        <v>0.9911347166620641</v>
      </c>
    </row>
    <row r="58" spans="1:12">
      <c r="A58" s="163">
        <f t="shared" si="13"/>
        <v>2.9166666666666653E-2</v>
      </c>
      <c r="B58" s="146">
        <f t="shared" si="14"/>
        <v>82.00218429990079</v>
      </c>
      <c r="C58" s="146">
        <f t="shared" si="15"/>
        <v>67.009639057089842</v>
      </c>
      <c r="D58" s="164">
        <f t="shared" si="16"/>
        <v>67.324429149345221</v>
      </c>
      <c r="E58" s="146">
        <f t="shared" si="17"/>
        <v>65.750188093399856</v>
      </c>
      <c r="F58" s="146">
        <f t="shared" si="11"/>
        <v>35.558573132926803</v>
      </c>
      <c r="G58" s="146">
        <f t="shared" si="12"/>
        <v>35.341697016131178</v>
      </c>
      <c r="H58" s="146">
        <f t="shared" si="18"/>
        <v>0.94019278114179683</v>
      </c>
      <c r="I58" s="146">
        <f t="shared" si="19"/>
        <v>0.9407029929345716</v>
      </c>
      <c r="J58" s="146">
        <f t="shared" si="20"/>
        <v>0.92295810093002162</v>
      </c>
      <c r="K58" s="146">
        <f t="shared" si="21"/>
        <v>0.98166899325599488</v>
      </c>
      <c r="L58" s="146">
        <f t="shared" si="22"/>
        <v>0.98394657489607129</v>
      </c>
    </row>
    <row r="59" spans="1:12">
      <c r="A59" s="163">
        <f t="shared" si="13"/>
        <v>3.0555555555555541E-2</v>
      </c>
      <c r="B59" s="146">
        <f t="shared" si="14"/>
        <v>79.874024119878626</v>
      </c>
      <c r="C59" s="146">
        <f t="shared" si="15"/>
        <v>65.834398080662595</v>
      </c>
      <c r="D59" s="164">
        <f t="shared" si="16"/>
        <v>66.155984830438953</v>
      </c>
      <c r="E59" s="146">
        <f t="shared" si="17"/>
        <v>62.780725310653828</v>
      </c>
      <c r="F59" s="146">
        <f t="shared" si="11"/>
        <v>34.66960880460379</v>
      </c>
      <c r="G59" s="146">
        <f t="shared" si="12"/>
        <v>34.469107407734896</v>
      </c>
      <c r="H59" s="146">
        <f t="shared" si="18"/>
        <v>0.91668796161325194</v>
      </c>
      <c r="I59" s="146">
        <f t="shared" si="19"/>
        <v>0.91718541811121146</v>
      </c>
      <c r="J59" s="146">
        <f t="shared" si="20"/>
        <v>0.89307511140122497</v>
      </c>
      <c r="K59" s="146">
        <f t="shared" si="21"/>
        <v>0.97424112544199726</v>
      </c>
      <c r="L59" s="146">
        <f t="shared" si="22"/>
        <v>0.97693590898263372</v>
      </c>
    </row>
    <row r="60" spans="1:12">
      <c r="A60" s="163">
        <f t="shared" si="13"/>
        <v>3.1944444444444428E-2</v>
      </c>
      <c r="B60" s="146">
        <f t="shared" si="14"/>
        <v>77.840224432423014</v>
      </c>
      <c r="C60" s="146">
        <f t="shared" si="15"/>
        <v>64.68853812864603</v>
      </c>
      <c r="D60" s="164">
        <f t="shared" si="16"/>
        <v>65.016389504556457</v>
      </c>
      <c r="E60" s="146">
        <f t="shared" si="17"/>
        <v>59.997090779940571</v>
      </c>
      <c r="F60" s="146">
        <f t="shared" si="11"/>
        <v>33.802868584488664</v>
      </c>
      <c r="G60" s="146">
        <f t="shared" si="12"/>
        <v>33.618062113533632</v>
      </c>
      <c r="H60" s="146">
        <f t="shared" si="18"/>
        <v>0.89377076257292065</v>
      </c>
      <c r="I60" s="146">
        <f t="shared" si="19"/>
        <v>0.89425578265843031</v>
      </c>
      <c r="J60" s="146">
        <f t="shared" si="20"/>
        <v>0.86415965556900487</v>
      </c>
      <c r="K60" s="146">
        <f t="shared" si="21"/>
        <v>0.96686946111475658</v>
      </c>
      <c r="L60" s="146">
        <f t="shared" si="22"/>
        <v>0.97009833702733872</v>
      </c>
    </row>
    <row r="61" spans="1:12">
      <c r="A61" s="163">
        <f t="shared" si="13"/>
        <v>3.3333333333333319E-2</v>
      </c>
      <c r="B61" s="146">
        <f t="shared" si="14"/>
        <v>75.895020079104015</v>
      </c>
      <c r="C61" s="146">
        <f t="shared" si="15"/>
        <v>63.571324675429878</v>
      </c>
      <c r="D61" s="164">
        <f t="shared" si="16"/>
        <v>63.904930887522127</v>
      </c>
      <c r="E61" s="146">
        <f t="shared" si="17"/>
        <v>57.38352842291048</v>
      </c>
      <c r="F61" s="146">
        <f t="shared" si="11"/>
        <v>32.957796869876489</v>
      </c>
      <c r="G61" s="146">
        <f t="shared" si="12"/>
        <v>32.788029202512739</v>
      </c>
      <c r="H61" s="146">
        <f t="shared" si="18"/>
        <v>0.87142649350859758</v>
      </c>
      <c r="I61" s="146">
        <f t="shared" si="19"/>
        <v>0.87189938809197065</v>
      </c>
      <c r="J61" s="146">
        <f t="shared" si="20"/>
        <v>0.83618040720165654</v>
      </c>
      <c r="K61" s="146">
        <f t="shared" si="21"/>
        <v>0.95955357500661842</v>
      </c>
      <c r="L61" s="146">
        <f t="shared" si="22"/>
        <v>0.96342958532513279</v>
      </c>
    </row>
    <row r="62" spans="1:12">
      <c r="A62" s="163">
        <f t="shared" si="13"/>
        <v>3.472222222222221E-2</v>
      </c>
      <c r="B62" s="146">
        <f t="shared" si="14"/>
        <v>74.033122410105463</v>
      </c>
      <c r="C62" s="146">
        <f t="shared" si="15"/>
        <v>62.482041558544132</v>
      </c>
      <c r="D62" s="164">
        <f t="shared" si="16"/>
        <v>62.820914281519229</v>
      </c>
      <c r="E62" s="146">
        <f t="shared" si="17"/>
        <v>54.925981235457272</v>
      </c>
      <c r="F62" s="146">
        <f t="shared" si="11"/>
        <v>32.13385194812949</v>
      </c>
      <c r="G62" s="146">
        <f t="shared" si="12"/>
        <v>31.978489877085483</v>
      </c>
      <c r="H62" s="146">
        <f t="shared" si="18"/>
        <v>0.84964083117088263</v>
      </c>
      <c r="I62" s="146">
        <f t="shared" si="19"/>
        <v>0.85010190338966907</v>
      </c>
      <c r="J62" s="146">
        <f t="shared" si="20"/>
        <v>0.80910705432961028</v>
      </c>
      <c r="K62" s="146">
        <f t="shared" si="21"/>
        <v>0.9522930450677457</v>
      </c>
      <c r="L62" s="146">
        <f t="shared" si="22"/>
        <v>0.9569254856891154</v>
      </c>
    </row>
    <row r="63" spans="1:12">
      <c r="A63" s="163">
        <f t="shared" si="13"/>
        <v>3.6111111111111101E-2</v>
      </c>
      <c r="B63" s="146">
        <f t="shared" si="14"/>
        <v>72.24966917395426</v>
      </c>
      <c r="C63" s="146">
        <f t="shared" si="15"/>
        <v>61.41999051958053</v>
      </c>
      <c r="D63" s="164">
        <f t="shared" si="16"/>
        <v>61.763662140881294</v>
      </c>
      <c r="E63" s="146">
        <f t="shared" si="17"/>
        <v>52.611870466460495</v>
      </c>
      <c r="F63" s="146">
        <f t="shared" si="11"/>
        <v>31.330505649426271</v>
      </c>
      <c r="G63" s="146">
        <f t="shared" si="12"/>
        <v>31.188938148819087</v>
      </c>
      <c r="H63" s="146">
        <f t="shared" si="18"/>
        <v>0.82839981039161059</v>
      </c>
      <c r="I63" s="146">
        <f t="shared" si="19"/>
        <v>0.82884935580492791</v>
      </c>
      <c r="J63" s="146">
        <f t="shared" si="20"/>
        <v>0.78291026640625416</v>
      </c>
      <c r="K63" s="146">
        <f t="shared" si="21"/>
        <v>0.94508745244177195</v>
      </c>
      <c r="L63" s="146">
        <f t="shared" si="22"/>
        <v>0.95058197284528778</v>
      </c>
    </row>
    <row r="64" spans="1:12">
      <c r="A64" s="163">
        <f t="shared" si="13"/>
        <v>3.7499999999999992E-2</v>
      </c>
      <c r="B64" s="146">
        <f t="shared" si="14"/>
        <v>70.540180762169854</v>
      </c>
      <c r="C64" s="146">
        <f t="shared" si="15"/>
        <v>60.384490756591013</v>
      </c>
      <c r="D64" s="164">
        <f t="shared" si="16"/>
        <v>60.732513648603934</v>
      </c>
      <c r="E64" s="146">
        <f t="shared" si="17"/>
        <v>50.429908147639978</v>
      </c>
      <c r="F64" s="146">
        <f t="shared" si="11"/>
        <v>30.54724300819074</v>
      </c>
      <c r="G64" s="146">
        <f t="shared" si="12"/>
        <v>30.418880522182125</v>
      </c>
      <c r="H64" s="146">
        <f t="shared" si="18"/>
        <v>0.80768981513182025</v>
      </c>
      <c r="I64" s="146">
        <f t="shared" si="19"/>
        <v>0.80812812190980798</v>
      </c>
      <c r="J64" s="146">
        <f t="shared" si="20"/>
        <v>0.75756166253200363</v>
      </c>
      <c r="K64" s="146">
        <f t="shared" si="21"/>
        <v>0.93793638144163627</v>
      </c>
      <c r="L64" s="146">
        <f t="shared" si="22"/>
        <v>0.94439508189162358</v>
      </c>
    </row>
    <row r="65" spans="1:12">
      <c r="A65" s="163">
        <f t="shared" si="13"/>
        <v>3.8888888888888883E-2</v>
      </c>
      <c r="B65" s="146">
        <f t="shared" si="14"/>
        <v>68.900521871768518</v>
      </c>
      <c r="C65" s="146">
        <f t="shared" si="15"/>
        <v>59.374878487676241</v>
      </c>
      <c r="D65" s="164">
        <f t="shared" si="16"/>
        <v>59.72682430331276</v>
      </c>
      <c r="E65" s="146">
        <f t="shared" si="17"/>
        <v>48.369937266839401</v>
      </c>
      <c r="F65" s="146">
        <f t="shared" si="11"/>
        <v>29.783561932985773</v>
      </c>
      <c r="G65" s="146">
        <f t="shared" si="12"/>
        <v>29.667835686089624</v>
      </c>
      <c r="H65" s="146">
        <f t="shared" si="18"/>
        <v>0.78749756975352481</v>
      </c>
      <c r="I65" s="146">
        <f t="shared" si="19"/>
        <v>0.78792491886205751</v>
      </c>
      <c r="J65" s="146">
        <f t="shared" si="20"/>
        <v>0.73303378070719472</v>
      </c>
      <c r="K65" s="146">
        <f t="shared" si="21"/>
        <v>0.93083941952560378</v>
      </c>
      <c r="L65" s="146">
        <f t="shared" si="22"/>
        <v>0.93836094581987661</v>
      </c>
    </row>
    <row r="66" spans="1:12">
      <c r="A66" s="163">
        <f t="shared" ref="A66:A129" si="23">A65+A$34</f>
        <v>4.0277777777777773E-2</v>
      </c>
      <c r="B66" s="146">
        <f t="shared" si="14"/>
        <v>67.326867805207783</v>
      </c>
      <c r="C66" s="146">
        <f t="shared" si="15"/>
        <v>58.390506525484334</v>
      </c>
      <c r="D66" s="164">
        <f t="shared" si="16"/>
        <v>58.745965516428996</v>
      </c>
      <c r="E66" s="146">
        <f t="shared" si="17"/>
        <v>46.422794963541683</v>
      </c>
      <c r="F66" s="146">
        <f t="shared" si="11"/>
        <v>29.03897288466128</v>
      </c>
      <c r="G66" s="146">
        <f t="shared" si="12"/>
        <v>28.935334213071062</v>
      </c>
      <c r="H66" s="146">
        <f t="shared" si="18"/>
        <v>0.76781013050968672</v>
      </c>
      <c r="I66" s="146">
        <f t="shared" si="19"/>
        <v>0.76822679589051013</v>
      </c>
      <c r="J66" s="146">
        <f t="shared" si="20"/>
        <v>0.70930004808048674</v>
      </c>
      <c r="K66" s="146">
        <f t="shared" si="21"/>
        <v>0.92379615727346565</v>
      </c>
      <c r="L66" s="146">
        <f t="shared" si="22"/>
        <v>0.93247579309857398</v>
      </c>
    </row>
    <row r="67" spans="1:12">
      <c r="A67" s="163">
        <f t="shared" si="23"/>
        <v>4.1666666666666664E-2</v>
      </c>
      <c r="B67" s="146">
        <f t="shared" si="14"/>
        <v>65.81567475486483</v>
      </c>
      <c r="C67" s="146">
        <f t="shared" si="15"/>
        <v>57.430743862347228</v>
      </c>
      <c r="D67" s="164">
        <f t="shared" si="16"/>
        <v>57.789324219281177</v>
      </c>
      <c r="E67" s="146">
        <f t="shared" si="17"/>
        <v>44.580194985117124</v>
      </c>
      <c r="F67" s="146">
        <f t="shared" si="11"/>
        <v>28.312998562544617</v>
      </c>
      <c r="G67" s="146">
        <f t="shared" si="12"/>
        <v>28.22091826586065</v>
      </c>
      <c r="H67" s="146">
        <f t="shared" si="18"/>
        <v>0.74861487724694453</v>
      </c>
      <c r="I67" s="146">
        <f t="shared" si="19"/>
        <v>0.74902112599324389</v>
      </c>
      <c r="J67" s="146">
        <f t="shared" si="20"/>
        <v>0.68633475216054629</v>
      </c>
      <c r="K67" s="146">
        <f t="shared" si="21"/>
        <v>0.91680618836291972</v>
      </c>
      <c r="L67" s="146">
        <f t="shared" si="22"/>
        <v>0.92673594531568704</v>
      </c>
    </row>
    <row r="68" spans="1:12">
      <c r="A68" s="163">
        <f t="shared" si="23"/>
        <v>4.3055555555555555E-2</v>
      </c>
      <c r="B68" s="146">
        <f t="shared" si="14"/>
        <v>64.363653523456094</v>
      </c>
      <c r="C68" s="146">
        <f t="shared" si="15"/>
        <v>56.494975265788547</v>
      </c>
      <c r="D68" s="164">
        <f t="shared" si="16"/>
        <v>56.856302479917261</v>
      </c>
      <c r="E68" s="146">
        <f t="shared" si="17"/>
        <v>42.834626326557711</v>
      </c>
      <c r="F68" s="146">
        <f t="shared" si="11"/>
        <v>27.605173598481091</v>
      </c>
      <c r="G68" s="146">
        <f t="shared" si="12"/>
        <v>27.524141311235521</v>
      </c>
      <c r="H68" s="146">
        <f t="shared" si="18"/>
        <v>0.72989950531577097</v>
      </c>
      <c r="I68" s="146">
        <f t="shared" si="19"/>
        <v>0.73029559784341513</v>
      </c>
      <c r="J68" s="146">
        <f t="shared" si="20"/>
        <v>0.66411301295982172</v>
      </c>
      <c r="K68" s="146">
        <f t="shared" si="21"/>
        <v>0.90986910954613054</v>
      </c>
      <c r="L68" s="146">
        <f t="shared" si="22"/>
        <v>0.92113781487950352</v>
      </c>
    </row>
    <row r="69" spans="1:12">
      <c r="A69" s="163">
        <f t="shared" si="23"/>
        <v>4.4444444444444446E-2</v>
      </c>
      <c r="B69" s="146">
        <f t="shared" si="14"/>
        <v>62.967746217555572</v>
      </c>
      <c r="C69" s="146">
        <f t="shared" si="15"/>
        <v>55.582600884143837</v>
      </c>
      <c r="D69" s="164">
        <f t="shared" si="16"/>
        <v>55.946317129377725</v>
      </c>
      <c r="E69" s="146">
        <f t="shared" si="17"/>
        <v>41.1792655240654</v>
      </c>
      <c r="F69" s="146">
        <f t="shared" si="11"/>
        <v>26.915044258518954</v>
      </c>
      <c r="G69" s="146">
        <f t="shared" si="12"/>
        <v>26.844567840916309</v>
      </c>
      <c r="H69" s="146">
        <f t="shared" si="18"/>
        <v>0.71165201768287678</v>
      </c>
      <c r="I69" s="146">
        <f t="shared" si="19"/>
        <v>0.71203820789732686</v>
      </c>
      <c r="J69" s="146">
        <f t="shared" si="20"/>
        <v>0.64261075604022988</v>
      </c>
      <c r="K69" s="146">
        <f t="shared" si="21"/>
        <v>0.90298452062646617</v>
      </c>
      <c r="L69" s="146">
        <f t="shared" si="22"/>
        <v>0.91567790277626637</v>
      </c>
    </row>
    <row r="70" spans="1:12">
      <c r="A70" s="163">
        <f t="shared" si="23"/>
        <v>4.5833333333333337E-2</v>
      </c>
      <c r="B70" s="146">
        <f t="shared" si="14"/>
        <v>61.625105522182864</v>
      </c>
      <c r="C70" s="146">
        <f t="shared" si="15"/>
        <v>54.69303586204024</v>
      </c>
      <c r="D70" s="164">
        <f t="shared" si="16"/>
        <v>55.058799397195934</v>
      </c>
      <c r="E70" s="146">
        <f t="shared" si="17"/>
        <v>39.60790051349489</v>
      </c>
      <c r="F70" s="146">
        <f t="shared" si="11"/>
        <v>26.242168152056095</v>
      </c>
      <c r="G70" s="146">
        <f t="shared" si="12"/>
        <v>26.18177309936285</v>
      </c>
      <c r="H70" s="146">
        <f t="shared" si="18"/>
        <v>0.69386071724080478</v>
      </c>
      <c r="I70" s="146">
        <f t="shared" si="19"/>
        <v>0.69423725269989678</v>
      </c>
      <c r="J70" s="146">
        <f t="shared" si="20"/>
        <v>0.62180468643155284</v>
      </c>
      <c r="K70" s="146">
        <f t="shared" si="21"/>
        <v>0.89615202443541009</v>
      </c>
      <c r="L70" s="146">
        <f t="shared" si="22"/>
        <v>0.91035279638317557</v>
      </c>
    </row>
    <row r="71" spans="1:12">
      <c r="A71" s="163">
        <f t="shared" si="23"/>
        <v>4.7222222222222228E-2</v>
      </c>
      <c r="B71" s="146">
        <f t="shared" si="14"/>
        <v>60.333076223167687</v>
      </c>
      <c r="C71" s="146">
        <f t="shared" si="15"/>
        <v>53.825709965489231</v>
      </c>
      <c r="D71" s="164">
        <f t="shared" si="16"/>
        <v>54.193194555898131</v>
      </c>
      <c r="E71" s="146">
        <f t="shared" si="17"/>
        <v>38.114864320947703</v>
      </c>
      <c r="F71" s="146">
        <f t="shared" si="11"/>
        <v>25.586113948254756</v>
      </c>
      <c r="G71" s="146">
        <f t="shared" si="12"/>
        <v>25.535342818285169</v>
      </c>
      <c r="H71" s="146">
        <f t="shared" si="18"/>
        <v>0.67651419930978463</v>
      </c>
      <c r="I71" s="146">
        <f t="shared" si="19"/>
        <v>0.67688132138240098</v>
      </c>
      <c r="J71" s="146">
        <f t="shared" si="20"/>
        <v>0.60167226339429114</v>
      </c>
      <c r="K71" s="146">
        <f t="shared" si="21"/>
        <v>0.88937122680964986</v>
      </c>
      <c r="L71" s="146">
        <f t="shared" si="22"/>
        <v>0.90515916733538881</v>
      </c>
    </row>
    <row r="72" spans="1:12">
      <c r="A72" s="163">
        <f t="shared" si="23"/>
        <v>4.8611111111111119E-2</v>
      </c>
      <c r="B72" s="146">
        <f t="shared" si="14"/>
        <v>59.089178692918978</v>
      </c>
      <c r="C72" s="146">
        <f t="shared" si="15"/>
        <v>52.980067216351998</v>
      </c>
      <c r="D72" s="164">
        <f t="shared" si="16"/>
        <v>53.348961574280665</v>
      </c>
      <c r="E72" s="146">
        <f t="shared" si="17"/>
        <v>36.694977142336924</v>
      </c>
      <c r="F72" s="146">
        <f t="shared" si="11"/>
        <v>24.946461099548397</v>
      </c>
      <c r="G72" s="146">
        <f t="shared" si="12"/>
        <v>24.904872957715256</v>
      </c>
      <c r="H72" s="146">
        <f t="shared" si="18"/>
        <v>0.65960134432703998</v>
      </c>
      <c r="I72" s="146">
        <f t="shared" si="19"/>
        <v>0.65995928834784123</v>
      </c>
      <c r="J72" s="146">
        <f t="shared" si="20"/>
        <v>0.58219167599962862</v>
      </c>
      <c r="K72" s="146">
        <f t="shared" si="21"/>
        <v>0.88264173656833766</v>
      </c>
      <c r="L72" s="146">
        <f t="shared" si="22"/>
        <v>0.90009376944568398</v>
      </c>
    </row>
    <row r="73" spans="1:12">
      <c r="A73" s="163">
        <f t="shared" si="23"/>
        <v>5.000000000000001E-2</v>
      </c>
      <c r="B73" s="146">
        <f t="shared" si="14"/>
        <v>57.891094096136428</v>
      </c>
      <c r="C73" s="146">
        <f t="shared" si="15"/>
        <v>52.155565535943197</v>
      </c>
      <c r="D73" s="164">
        <f t="shared" si="16"/>
        <v>52.525572779247923</v>
      </c>
      <c r="E73" s="146">
        <f t="shared" si="17"/>
        <v>35.343495605085231</v>
      </c>
      <c r="F73" s="146">
        <f t="shared" si="11"/>
        <v>24.32279957205963</v>
      </c>
      <c r="G73" s="146">
        <f t="shared" si="12"/>
        <v>24.289969453465872</v>
      </c>
      <c r="H73" s="146">
        <f t="shared" si="18"/>
        <v>0.64311131071886396</v>
      </c>
      <c r="I73" s="146">
        <f t="shared" si="19"/>
        <v>0.64346030613914373</v>
      </c>
      <c r="J73" s="146">
        <f t="shared" si="20"/>
        <v>0.56334181950005535</v>
      </c>
      <c r="K73" s="146">
        <f t="shared" si="21"/>
        <v>0.87596316549052289</v>
      </c>
      <c r="L73" s="146">
        <f t="shared" si="22"/>
        <v>0.89515343667548752</v>
      </c>
    </row>
    <row r="74" spans="1:12">
      <c r="A74" s="163">
        <f t="shared" si="23"/>
        <v>5.1388888888888901E-2</v>
      </c>
      <c r="B74" s="146">
        <f t="shared" si="14"/>
        <v>56.736651106343942</v>
      </c>
      <c r="C74" s="146">
        <f t="shared" si="15"/>
        <v>51.351676397544615</v>
      </c>
      <c r="D74" s="164">
        <f t="shared" si="16"/>
        <v>51.722513525999425</v>
      </c>
      <c r="E74" s="146">
        <f t="shared" si="17"/>
        <v>34.056068198878329</v>
      </c>
      <c r="F74" s="146">
        <f t="shared" si="11"/>
        <v>23.714729582758149</v>
      </c>
      <c r="G74" s="146">
        <f t="shared" si="12"/>
        <v>23.690247970830715</v>
      </c>
      <c r="H74" s="146">
        <f t="shared" si="18"/>
        <v>0.62703352795089229</v>
      </c>
      <c r="I74" s="146">
        <f t="shared" si="19"/>
        <v>0.62737379848566532</v>
      </c>
      <c r="J74" s="146">
        <f t="shared" si="20"/>
        <v>0.54510227246504872</v>
      </c>
      <c r="K74" s="146">
        <f t="shared" si="21"/>
        <v>0.86933512829275661</v>
      </c>
      <c r="L74" s="146">
        <f t="shared" si="22"/>
        <v>0.89033508115599658</v>
      </c>
    </row>
    <row r="75" spans="1:12">
      <c r="A75" s="163">
        <f t="shared" si="23"/>
        <v>5.2777777777777792E-2</v>
      </c>
      <c r="B75" s="146">
        <f t="shared" si="14"/>
        <v>55.62381395305745</v>
      </c>
      <c r="C75" s="146">
        <f t="shared" si="15"/>
        <v>50.567884487606001</v>
      </c>
      <c r="D75" s="164">
        <f t="shared" si="16"/>
        <v>50.939281876360091</v>
      </c>
      <c r="E75" s="146">
        <f t="shared" si="17"/>
        <v>32.828696021951508</v>
      </c>
      <c r="F75" s="146">
        <f t="shared" si="11"/>
        <v>23.121861343189117</v>
      </c>
      <c r="G75" s="146">
        <f t="shared" si="12"/>
        <v>23.10533366436033</v>
      </c>
      <c r="H75" s="146">
        <f t="shared" si="18"/>
        <v>0.61135768975212001</v>
      </c>
      <c r="I75" s="146">
        <f t="shared" si="19"/>
        <v>0.61168945352352166</v>
      </c>
      <c r="J75" s="146">
        <f t="shared" si="20"/>
        <v>0.52745327465704162</v>
      </c>
      <c r="K75" s="146">
        <f t="shared" si="21"/>
        <v>0.86275724260686382</v>
      </c>
      <c r="L75" s="146">
        <f t="shared" si="22"/>
        <v>0.88563569125816055</v>
      </c>
    </row>
    <row r="76" spans="1:12">
      <c r="A76" s="163">
        <f t="shared" si="23"/>
        <v>5.4166666666666682E-2</v>
      </c>
      <c r="B76" s="146">
        <f t="shared" si="14"/>
        <v>54.550671643862032</v>
      </c>
      <c r="C76" s="146">
        <f t="shared" si="15"/>
        <v>49.803687375415848</v>
      </c>
      <c r="D76" s="164">
        <f t="shared" si="16"/>
        <v>50.175388285052541</v>
      </c>
      <c r="E76" s="146">
        <f t="shared" si="17"/>
        <v>31.657698121264843</v>
      </c>
      <c r="F76" s="146">
        <f t="shared" si="11"/>
        <v>22.543814809609525</v>
      </c>
      <c r="G76" s="146">
        <f t="shared" si="12"/>
        <v>22.534860943572724</v>
      </c>
      <c r="H76" s="146">
        <f t="shared" si="18"/>
        <v>0.59607374750831699</v>
      </c>
      <c r="I76" s="146">
        <f t="shared" si="19"/>
        <v>0.59639721718543726</v>
      </c>
      <c r="J76" s="146">
        <f t="shared" si="20"/>
        <v>0.51037570562370915</v>
      </c>
      <c r="K76" s="146">
        <f t="shared" si="21"/>
        <v>0.85622912895788605</v>
      </c>
      <c r="L76" s="146">
        <f t="shared" si="22"/>
        <v>0.88105232971031522</v>
      </c>
    </row>
    <row r="77" spans="1:12">
      <c r="A77" s="163">
        <f t="shared" si="23"/>
        <v>5.5555555555555573E-2</v>
      </c>
      <c r="B77" s="146">
        <f t="shared" si="14"/>
        <v>53.515428226425186</v>
      </c>
      <c r="C77" s="146">
        <f t="shared" si="15"/>
        <v>49.058595191030449</v>
      </c>
      <c r="D77" s="164">
        <f t="shared" si="16"/>
        <v>49.430355293715373</v>
      </c>
      <c r="E77" s="146">
        <f t="shared" si="17"/>
        <v>30.539680814386941</v>
      </c>
      <c r="F77" s="146">
        <f t="shared" si="11"/>
        <v>21.980219439369272</v>
      </c>
      <c r="G77" s="146">
        <f t="shared" si="12"/>
        <v>21.978473244446484</v>
      </c>
      <c r="H77" s="146">
        <f t="shared" si="18"/>
        <v>0.58117190382060901</v>
      </c>
      <c r="I77" s="146">
        <f t="shared" si="19"/>
        <v>0.58148728675580086</v>
      </c>
      <c r="J77" s="146">
        <f t="shared" si="20"/>
        <v>0.49385106398338185</v>
      </c>
      <c r="K77" s="146">
        <f t="shared" si="21"/>
        <v>0.84975041074218793</v>
      </c>
      <c r="L77" s="146">
        <f t="shared" si="22"/>
        <v>0.87658213176229227</v>
      </c>
    </row>
    <row r="78" spans="1:12">
      <c r="A78" s="163">
        <f t="shared" si="23"/>
        <v>5.6944444444444464E-2</v>
      </c>
      <c r="B78" s="146">
        <f t="shared" si="14"/>
        <v>52.516393973134669</v>
      </c>
      <c r="C78" s="146">
        <f t="shared" si="15"/>
        <v>48.332130311254687</v>
      </c>
      <c r="D78" s="164">
        <f t="shared" si="16"/>
        <v>48.703717232476116</v>
      </c>
      <c r="E78" s="146">
        <f t="shared" si="17"/>
        <v>29.471510472070264</v>
      </c>
      <c r="F78" s="146">
        <f t="shared" si="11"/>
        <v>21.430713953384966</v>
      </c>
      <c r="G78" s="146">
        <f t="shared" si="12"/>
        <v>21.435822806558072</v>
      </c>
      <c r="H78" s="146">
        <f t="shared" si="18"/>
        <v>0.56664260622509377</v>
      </c>
      <c r="I78" s="146">
        <f t="shared" si="19"/>
        <v>0.56695010458690387</v>
      </c>
      <c r="J78" s="146">
        <f t="shared" si="20"/>
        <v>0.47786144738114406</v>
      </c>
      <c r="K78" s="146">
        <f t="shared" si="21"/>
        <v>0.84332071420573307</v>
      </c>
      <c r="L78" s="146">
        <f t="shared" si="22"/>
        <v>0.87222230339485662</v>
      </c>
    </row>
    <row r="79" spans="1:12">
      <c r="A79" s="163">
        <f t="shared" si="23"/>
        <v>5.8333333333333355E-2</v>
      </c>
      <c r="B79" s="146">
        <f t="shared" si="14"/>
        <v>51.551977386127241</v>
      </c>
      <c r="C79" s="146">
        <f t="shared" si="15"/>
        <v>47.62382705347332</v>
      </c>
      <c r="D79" s="164">
        <f t="shared" si="16"/>
        <v>47.995019928892411</v>
      </c>
      <c r="E79" s="146">
        <f t="shared" si="17"/>
        <v>28.450289316719111</v>
      </c>
      <c r="F79" s="146">
        <f t="shared" si="11"/>
        <v>20.894946104550321</v>
      </c>
      <c r="G79" s="146">
        <f t="shared" si="12"/>
        <v>20.90657045571929</v>
      </c>
      <c r="H79" s="146">
        <f t="shared" si="18"/>
        <v>0.55247654106946642</v>
      </c>
      <c r="I79" s="146">
        <f t="shared" si="19"/>
        <v>0.55277635197223074</v>
      </c>
      <c r="J79" s="146">
        <f t="shared" si="20"/>
        <v>0.46238953309390046</v>
      </c>
      <c r="K79" s="146">
        <f t="shared" si="21"/>
        <v>0.83693966842252088</v>
      </c>
      <c r="L79" s="146">
        <f t="shared" si="22"/>
        <v>0.86797011957335446</v>
      </c>
    </row>
    <row r="80" spans="1:12">
      <c r="A80" s="163">
        <f t="shared" si="23"/>
        <v>5.9722222222222246E-2</v>
      </c>
      <c r="B80" s="146">
        <f t="shared" si="14"/>
        <v>50.620677933385601</v>
      </c>
      <c r="C80" s="146">
        <f t="shared" si="15"/>
        <v>46.933231377136487</v>
      </c>
      <c r="D80" s="164">
        <f t="shared" si="16"/>
        <v>47.303820424079483</v>
      </c>
      <c r="E80" s="146">
        <f t="shared" si="17"/>
        <v>27.473333855878401</v>
      </c>
      <c r="F80" s="146">
        <f t="shared" si="11"/>
        <v>20.372572451936595</v>
      </c>
      <c r="G80" s="146">
        <f t="shared" si="12"/>
        <v>20.39038539198139</v>
      </c>
      <c r="H80" s="146">
        <f t="shared" si="18"/>
        <v>0.5386646275427297</v>
      </c>
      <c r="I80" s="146">
        <f t="shared" si="19"/>
        <v>0.53895694317292586</v>
      </c>
      <c r="J80" s="146">
        <f t="shared" si="20"/>
        <v>0.44741855926340163</v>
      </c>
      <c r="K80" s="146">
        <f t="shared" si="21"/>
        <v>0.83060690527318881</v>
      </c>
      <c r="L80" s="146">
        <f t="shared" si="22"/>
        <v>0.8638229225444769</v>
      </c>
    </row>
    <row r="81" spans="1:12">
      <c r="A81" s="163">
        <f t="shared" si="23"/>
        <v>6.1111111111111137E-2</v>
      </c>
      <c r="B81" s="146">
        <f t="shared" si="14"/>
        <v>49.72107943766791</v>
      </c>
      <c r="C81" s="146">
        <f t="shared" si="15"/>
        <v>46.259900592708071</v>
      </c>
      <c r="D81" s="164">
        <f t="shared" si="16"/>
        <v>46.629686695846353</v>
      </c>
      <c r="E81" s="146">
        <f t="shared" si="17"/>
        <v>26.538155623671859</v>
      </c>
      <c r="F81" s="146">
        <f t="shared" si="11"/>
        <v>19.863258140638258</v>
      </c>
      <c r="G81" s="146">
        <f t="shared" si="12"/>
        <v>19.886944982877338</v>
      </c>
      <c r="H81" s="146">
        <f t="shared" si="18"/>
        <v>0.52519801185416137</v>
      </c>
      <c r="I81" s="146">
        <f t="shared" si="19"/>
        <v>0.52548301959360477</v>
      </c>
      <c r="J81" s="146">
        <f t="shared" si="20"/>
        <v>0.43293230673689459</v>
      </c>
      <c r="K81" s="146">
        <f t="shared" si="21"/>
        <v>0.82432205942377512</v>
      </c>
      <c r="L81" s="146">
        <f t="shared" si="22"/>
        <v>0.85977812017507815</v>
      </c>
    </row>
    <row r="82" spans="1:12">
      <c r="A82" s="163">
        <f t="shared" si="23"/>
        <v>6.2500000000000028E-2</v>
      </c>
      <c r="B82" s="146">
        <f t="shared" si="14"/>
        <v>48.851844049581707</v>
      </c>
      <c r="C82" s="146">
        <f t="shared" si="15"/>
        <v>45.60340307789037</v>
      </c>
      <c r="D82" s="164">
        <f t="shared" si="16"/>
        <v>45.972197388667965</v>
      </c>
      <c r="E82" s="146">
        <f t="shared" si="17"/>
        <v>25.642443948542986</v>
      </c>
      <c r="F82" s="146">
        <f t="shared" si="11"/>
        <v>19.366676687122187</v>
      </c>
      <c r="G82" s="146">
        <f t="shared" si="12"/>
        <v>19.395934561762434</v>
      </c>
      <c r="H82" s="146">
        <f t="shared" si="18"/>
        <v>0.51206806155780737</v>
      </c>
      <c r="I82" s="146">
        <f t="shared" si="19"/>
        <v>0.51234594410376155</v>
      </c>
      <c r="J82" s="146">
        <f t="shared" si="20"/>
        <v>0.41891508149572698</v>
      </c>
      <c r="K82" s="146">
        <f t="shared" si="21"/>
        <v>0.81808476830464394</v>
      </c>
      <c r="L82" s="146">
        <f t="shared" si="22"/>
        <v>0.85583318433200772</v>
      </c>
    </row>
    <row r="83" spans="1:12">
      <c r="A83" s="163">
        <f t="shared" si="23"/>
        <v>6.3888888888888912E-2</v>
      </c>
      <c r="B83" s="146">
        <f t="shared" si="14"/>
        <v>48.011706744357518</v>
      </c>
      <c r="C83" s="146">
        <f t="shared" si="15"/>
        <v>44.963318000943111</v>
      </c>
      <c r="D83" s="164">
        <f t="shared" si="16"/>
        <v>45.330941550324241</v>
      </c>
      <c r="E83" s="146">
        <f t="shared" si="17"/>
        <v>24.784050504113587</v>
      </c>
      <c r="F83" s="146">
        <f t="shared" si="11"/>
        <v>18.882509769944122</v>
      </c>
      <c r="G83" s="146">
        <f t="shared" si="12"/>
        <v>18.917047231139868</v>
      </c>
      <c r="H83" s="146">
        <f t="shared" si="18"/>
        <v>0.49926636001886221</v>
      </c>
      <c r="I83" s="146">
        <f t="shared" si="19"/>
        <v>0.49953729550116727</v>
      </c>
      <c r="J83" s="146">
        <f t="shared" si="20"/>
        <v>0.40535169765286611</v>
      </c>
      <c r="K83" s="146">
        <f t="shared" si="21"/>
        <v>0.81189467208956756</v>
      </c>
      <c r="L83" s="146">
        <f t="shared" si="22"/>
        <v>0.85198564930194542</v>
      </c>
    </row>
    <row r="84" spans="1:12">
      <c r="A84" s="163">
        <f t="shared" si="23"/>
        <v>6.5277777777777796E-2</v>
      </c>
      <c r="B84" s="146">
        <f t="shared" si="14"/>
        <v>47.199470289013526</v>
      </c>
      <c r="C84" s="146">
        <f t="shared" si="15"/>
        <v>44.339235050919534</v>
      </c>
      <c r="D84" s="164">
        <f t="shared" si="16"/>
        <v>44.705518375041578</v>
      </c>
      <c r="E84" s="146">
        <f t="shared" si="17"/>
        <v>23.960975432647771</v>
      </c>
      <c r="F84" s="146">
        <f t="shared" si="11"/>
        <v>18.410447025695539</v>
      </c>
      <c r="G84" s="146">
        <f t="shared" si="12"/>
        <v>18.449983670838549</v>
      </c>
      <c r="H84" s="146">
        <f t="shared" si="18"/>
        <v>0.48678470101839066</v>
      </c>
      <c r="I84" s="146">
        <f t="shared" si="19"/>
        <v>0.48704886311363865</v>
      </c>
      <c r="J84" s="146">
        <f t="shared" si="20"/>
        <v>0.39222746100091543</v>
      </c>
      <c r="K84" s="146">
        <f t="shared" si="21"/>
        <v>0.80575141367496905</v>
      </c>
      <c r="L84" s="146">
        <f t="shared" si="22"/>
        <v>0.8482331102502495</v>
      </c>
    </row>
    <row r="85" spans="1:12">
      <c r="A85" s="163">
        <f t="shared" si="23"/>
        <v>6.666666666666668E-2</v>
      </c>
      <c r="B85" s="146">
        <f t="shared" si="14"/>
        <v>46.414000632795364</v>
      </c>
      <c r="C85" s="146">
        <f t="shared" si="15"/>
        <v>43.730754174646549</v>
      </c>
      <c r="D85" s="164">
        <f t="shared" si="16"/>
        <v>44.095536952976161</v>
      </c>
      <c r="E85" s="146">
        <f t="shared" si="17"/>
        <v>23.171354858435766</v>
      </c>
      <c r="F85" s="146">
        <f t="shared" si="11"/>
        <v>17.950185850053057</v>
      </c>
      <c r="G85" s="146">
        <f t="shared" si="12"/>
        <v>17.994451950929793</v>
      </c>
      <c r="H85" s="146">
        <f t="shared" si="18"/>
        <v>0.47461508349293097</v>
      </c>
      <c r="I85" s="146">
        <f t="shared" si="19"/>
        <v>0.47487264153579517</v>
      </c>
      <c r="J85" s="146">
        <f t="shared" si="20"/>
        <v>0.3795281530928033</v>
      </c>
      <c r="K85" s="146">
        <f t="shared" si="21"/>
        <v>0.79965463865932129</v>
      </c>
      <c r="L85" s="146">
        <f t="shared" si="22"/>
        <v>0.84457322171785698</v>
      </c>
    </row>
    <row r="86" spans="1:12">
      <c r="A86" s="163">
        <f t="shared" si="23"/>
        <v>6.8055555555555564E-2</v>
      </c>
      <c r="B86" s="146">
        <f t="shared" si="14"/>
        <v>45.654222679162167</v>
      </c>
      <c r="C86" s="146">
        <f t="shared" si="15"/>
        <v>43.137485320280383</v>
      </c>
      <c r="D86" s="164">
        <f t="shared" si="16"/>
        <v>43.500616025882621</v>
      </c>
      <c r="E86" s="146">
        <f t="shared" si="17"/>
        <v>22.413449632179312</v>
      </c>
      <c r="F86" s="146">
        <f t="shared" si="11"/>
        <v>17.501431203801882</v>
      </c>
      <c r="G86" s="146">
        <f t="shared" si="12"/>
        <v>17.550167349259425</v>
      </c>
      <c r="H86" s="146">
        <f t="shared" si="18"/>
        <v>0.46274970640560764</v>
      </c>
      <c r="I86" s="146">
        <f t="shared" si="19"/>
        <v>0.46300082549740434</v>
      </c>
      <c r="J86" s="146">
        <f t="shared" si="20"/>
        <v>0.36724001583789695</v>
      </c>
      <c r="K86" s="146">
        <f t="shared" si="21"/>
        <v>0.79360399532270065</v>
      </c>
      <c r="L86" s="146">
        <f t="shared" si="22"/>
        <v>0.84100369615529569</v>
      </c>
    </row>
    <row r="87" spans="1:12">
      <c r="A87" s="163">
        <f t="shared" si="23"/>
        <v>6.9444444444444448E-2</v>
      </c>
      <c r="B87" s="146">
        <f t="shared" si="14"/>
        <v>44.919116402287088</v>
      </c>
      <c r="C87" s="146">
        <f t="shared" si="15"/>
        <v>42.559048187273376</v>
      </c>
      <c r="D87" s="164">
        <f t="shared" si="16"/>
        <v>42.920383748815205</v>
      </c>
      <c r="E87" s="146">
        <f t="shared" si="17"/>
        <v>21.685635167814841</v>
      </c>
      <c r="F87" s="146">
        <f t="shared" si="11"/>
        <v>17.063895423706715</v>
      </c>
      <c r="G87" s="146">
        <f t="shared" si="12"/>
        <v>17.116852173488791</v>
      </c>
      <c r="H87" s="146">
        <f t="shared" si="18"/>
        <v>0.45118096374546751</v>
      </c>
      <c r="I87" s="146">
        <f t="shared" si="19"/>
        <v>0.45142580485996603</v>
      </c>
      <c r="J87" s="146">
        <f t="shared" si="20"/>
        <v>0.35534973659685576</v>
      </c>
      <c r="K87" s="146">
        <f t="shared" si="21"/>
        <v>0.78759913460649755</v>
      </c>
      <c r="L87" s="146">
        <f t="shared" si="22"/>
        <v>0.83752230249289128</v>
      </c>
    </row>
    <row r="88" spans="1:12">
      <c r="A88" s="163">
        <f t="shared" si="23"/>
        <v>7.0833333333333331E-2</v>
      </c>
      <c r="B88" s="146">
        <f t="shared" si="14"/>
        <v>44.207713275145181</v>
      </c>
      <c r="C88" s="146">
        <f t="shared" si="15"/>
        <v>41.99507198259154</v>
      </c>
      <c r="D88" s="164">
        <f t="shared" si="16"/>
        <v>42.354477457712584</v>
      </c>
      <c r="E88" s="146">
        <f t="shared" si="17"/>
        <v>20.986392250686244</v>
      </c>
      <c r="F88" s="146">
        <f t="shared" si="11"/>
        <v>16.637298038114167</v>
      </c>
      <c r="G88" s="146">
        <f t="shared" si="12"/>
        <v>16.694235587527324</v>
      </c>
      <c r="H88" s="146">
        <f t="shared" si="18"/>
        <v>0.43990143965183082</v>
      </c>
      <c r="I88" s="146">
        <f t="shared" si="19"/>
        <v>0.44014015973847009</v>
      </c>
      <c r="J88" s="146">
        <f t="shared" si="20"/>
        <v>0.34384443375907325</v>
      </c>
      <c r="K88" s="146">
        <f t="shared" si="21"/>
        <v>0.78163971009327937</v>
      </c>
      <c r="L88" s="146">
        <f t="shared" si="22"/>
        <v>0.83412686474627551</v>
      </c>
    </row>
    <row r="89" spans="1:12">
      <c r="A89" s="163">
        <f t="shared" si="23"/>
        <v>7.2222222222222215E-2</v>
      </c>
      <c r="B89" s="146">
        <f t="shared" si="14"/>
        <v>43.519092979856403</v>
      </c>
      <c r="C89" s="146">
        <f t="shared" si="15"/>
        <v>41.445195183026755</v>
      </c>
      <c r="D89" s="164">
        <f t="shared" si="16"/>
        <v>41.802543442721003</v>
      </c>
      <c r="E89" s="146">
        <f t="shared" si="17"/>
        <v>20.314298711018967</v>
      </c>
      <c r="F89" s="146">
        <f t="shared" si="11"/>
        <v>16.221365587161166</v>
      </c>
      <c r="G89" s="146">
        <f t="shared" si="12"/>
        <v>16.282053442251627</v>
      </c>
      <c r="H89" s="146">
        <f t="shared" si="18"/>
        <v>0.4289039036605351</v>
      </c>
      <c r="I89" s="146">
        <f t="shared" si="19"/>
        <v>0.42913665574500443</v>
      </c>
      <c r="J89" s="146">
        <f t="shared" si="20"/>
        <v>0.33271164278708482</v>
      </c>
      <c r="K89" s="146">
        <f t="shared" si="21"/>
        <v>0.77572537798680508</v>
      </c>
      <c r="L89" s="146">
        <f t="shared" si="22"/>
        <v>0.83081526065632605</v>
      </c>
    </row>
    <row r="90" spans="1:12">
      <c r="A90" s="163">
        <f t="shared" si="23"/>
        <v>7.3611111111111099E-2</v>
      </c>
      <c r="B90" s="146">
        <f t="shared" si="14"/>
        <v>42.852380374106282</v>
      </c>
      <c r="C90" s="146">
        <f t="shared" si="15"/>
        <v>40.909065303451086</v>
      </c>
      <c r="D90" s="164">
        <f t="shared" si="16"/>
        <v>41.264236727114124</v>
      </c>
      <c r="E90" s="146">
        <f t="shared" si="17"/>
        <v>19.668021869628561</v>
      </c>
      <c r="F90" s="146">
        <f t="shared" si="11"/>
        <v>15.815831447482211</v>
      </c>
      <c r="G90" s="146">
        <f t="shared" si="12"/>
        <v>15.880048110402932</v>
      </c>
      <c r="H90" s="146">
        <f t="shared" si="18"/>
        <v>0.41818130606902171</v>
      </c>
      <c r="I90" s="146">
        <f t="shared" si="19"/>
        <v>0.41840823935138127</v>
      </c>
      <c r="J90" s="146">
        <f t="shared" si="20"/>
        <v>0.32193930271282067</v>
      </c>
      <c r="K90" s="146">
        <f t="shared" si="21"/>
        <v>0.7698557970921921</v>
      </c>
      <c r="L90" s="146">
        <f t="shared" si="22"/>
        <v>0.82758542036268468</v>
      </c>
    </row>
    <row r="91" spans="1:12">
      <c r="A91" s="163">
        <f t="shared" si="23"/>
        <v>7.4999999999999983E-2</v>
      </c>
      <c r="B91" s="146">
        <f t="shared" si="14"/>
        <v>42.206742690241356</v>
      </c>
      <c r="C91" s="146">
        <f t="shared" si="15"/>
        <v>40.386338670864809</v>
      </c>
      <c r="D91" s="164">
        <f t="shared" si="16"/>
        <v>40.739220851671327</v>
      </c>
      <c r="E91" s="146">
        <f t="shared" si="17"/>
        <v>19.046311674015325</v>
      </c>
      <c r="F91" s="146">
        <f t="shared" si="11"/>
        <v>15.420435661295176</v>
      </c>
      <c r="G91" s="146">
        <f t="shared" si="12"/>
        <v>15.487968325562516</v>
      </c>
      <c r="H91" s="146">
        <f t="shared" si="18"/>
        <v>0.40772677341729618</v>
      </c>
      <c r="I91" s="146">
        <f t="shared" si="19"/>
        <v>0.40794803336759727</v>
      </c>
      <c r="J91" s="146">
        <f t="shared" si="20"/>
        <v>0.3115157430710761</v>
      </c>
      <c r="K91" s="146">
        <f t="shared" si="21"/>
        <v>0.76403062879623318</v>
      </c>
      <c r="L91" s="146">
        <f t="shared" si="22"/>
        <v>0.82443532511002793</v>
      </c>
    </row>
    <row r="92" spans="1:12">
      <c r="A92" s="163">
        <f t="shared" si="23"/>
        <v>7.6388888888888867E-2</v>
      </c>
      <c r="B92" s="146">
        <f t="shared" si="14"/>
        <v>41.581386946081196</v>
      </c>
      <c r="C92" s="146">
        <f t="shared" si="15"/>
        <v>39.876680204093191</v>
      </c>
      <c r="D92" s="164">
        <f t="shared" si="16"/>
        <v>40.227167664379721</v>
      </c>
      <c r="E92" s="146">
        <f t="shared" si="17"/>
        <v>18.447994452724721</v>
      </c>
      <c r="F92" s="146">
        <f t="shared" si="11"/>
        <v>15.03492476976275</v>
      </c>
      <c r="G92" s="146">
        <f t="shared" si="12"/>
        <v>15.10556902510238</v>
      </c>
      <c r="H92" s="146">
        <f t="shared" si="18"/>
        <v>0.39753360408186383</v>
      </c>
      <c r="I92" s="146">
        <f t="shared" si="19"/>
        <v>0.39774933253340611</v>
      </c>
      <c r="J92" s="146">
        <f t="shared" si="20"/>
        <v>0.30142967125604142</v>
      </c>
      <c r="K92" s="146">
        <f t="shared" si="21"/>
        <v>0.75824953704786224</v>
      </c>
      <c r="L92" s="146">
        <f t="shared" si="22"/>
        <v>0.82136300598627832</v>
      </c>
    </row>
    <row r="93" spans="1:12">
      <c r="A93" s="163">
        <f t="shared" si="23"/>
        <v>7.7777777777777751E-2</v>
      </c>
      <c r="B93" s="146">
        <f t="shared" si="14"/>
        <v>40.975557548647004</v>
      </c>
      <c r="C93" s="146">
        <f t="shared" si="15"/>
        <v>39.379763198990858</v>
      </c>
      <c r="D93" s="164">
        <f t="shared" si="16"/>
        <v>39.727757115328522</v>
      </c>
      <c r="E93" s="146">
        <f t="shared" si="17"/>
        <v>17.871967224308669</v>
      </c>
      <c r="F93" s="146">
        <f t="shared" si="11"/>
        <v>14.659051650518812</v>
      </c>
      <c r="G93" s="146">
        <f t="shared" si="12"/>
        <v>14.732611197010353</v>
      </c>
      <c r="H93" s="146">
        <f t="shared" si="18"/>
        <v>0.38759526397981714</v>
      </c>
      <c r="I93" s="146">
        <f t="shared" si="19"/>
        <v>0.3878055992200744</v>
      </c>
      <c r="J93" s="146">
        <f t="shared" si="20"/>
        <v>0.29167016028719411</v>
      </c>
      <c r="K93" s="146">
        <f t="shared" si="21"/>
        <v>0.75251218833876665</v>
      </c>
      <c r="L93" s="146">
        <f t="shared" si="22"/>
        <v>0.81836654269197107</v>
      </c>
    </row>
    <row r="94" spans="1:12">
      <c r="A94" s="163">
        <f t="shared" si="23"/>
        <v>7.9166666666666635E-2</v>
      </c>
      <c r="B94" s="146">
        <f t="shared" si="14"/>
        <v>40.38853407391592</v>
      </c>
      <c r="C94" s="146">
        <f t="shared" si="15"/>
        <v>38.895269119016085</v>
      </c>
      <c r="D94" s="164">
        <f t="shared" si="16"/>
        <v>39.24067705666738</v>
      </c>
      <c r="E94" s="146">
        <f t="shared" si="17"/>
        <v>17.317192504566954</v>
      </c>
      <c r="F94" s="146">
        <f t="shared" si="11"/>
        <v>14.29257535925581</v>
      </c>
      <c r="G94" s="146">
        <f t="shared" si="12"/>
        <v>14.368861730503699</v>
      </c>
      <c r="H94" s="146">
        <f t="shared" si="18"/>
        <v>0.37790538238032167</v>
      </c>
      <c r="I94" s="146">
        <f t="shared" si="19"/>
        <v>0.37811045923957171</v>
      </c>
      <c r="J94" s="146">
        <f t="shared" si="20"/>
        <v>0.2822266369713014</v>
      </c>
      <c r="K94" s="146">
        <f t="shared" si="21"/>
        <v>0.74681825168414839</v>
      </c>
      <c r="L94" s="146">
        <f t="shared" si="22"/>
        <v>0.81544406234000433</v>
      </c>
    </row>
    <row r="95" spans="1:12">
      <c r="A95" s="163">
        <f t="shared" si="23"/>
        <v>8.0555555555555519E-2</v>
      </c>
      <c r="B95" s="146">
        <f t="shared" si="14"/>
        <v>39.819629207401547</v>
      </c>
      <c r="C95" s="146">
        <f t="shared" si="15"/>
        <v>38.422887391040682</v>
      </c>
      <c r="D95" s="164">
        <f t="shared" si="16"/>
        <v>38.765623047503823</v>
      </c>
      <c r="E95" s="146">
        <f t="shared" si="17"/>
        <v>16.782693562174003</v>
      </c>
      <c r="F95" s="146">
        <f t="shared" si="11"/>
        <v>13.935260975274389</v>
      </c>
      <c r="G95" s="146">
        <f t="shared" si="12"/>
        <v>14.014093270324935</v>
      </c>
      <c r="H95" s="146">
        <f t="shared" si="18"/>
        <v>0.36845774782081364</v>
      </c>
      <c r="I95" s="146">
        <f t="shared" si="19"/>
        <v>0.36865769775858176</v>
      </c>
      <c r="J95" s="146">
        <f t="shared" si="20"/>
        <v>0.27308887044770452</v>
      </c>
      <c r="K95" s="146">
        <f t="shared" si="21"/>
        <v>0.74116739860362935</v>
      </c>
      <c r="L95" s="146">
        <f t="shared" si="22"/>
        <v>0.8125937382850229</v>
      </c>
    </row>
    <row r="96" spans="1:12">
      <c r="A96" s="163">
        <f t="shared" si="23"/>
        <v>8.1944444444444403E-2</v>
      </c>
      <c r="B96" s="146">
        <f t="shared" si="14"/>
        <v>39.268186831862629</v>
      </c>
      <c r="C96" s="146">
        <f t="shared" si="15"/>
        <v>37.962315206264662</v>
      </c>
      <c r="D96" s="164">
        <f t="shared" si="16"/>
        <v>38.302298163617806</v>
      </c>
      <c r="E96" s="146">
        <f t="shared" si="17"/>
        <v>16.267550078398106</v>
      </c>
      <c r="F96" s="146">
        <f t="shared" si="11"/>
        <v>13.586879450892571</v>
      </c>
      <c r="G96" s="146">
        <f t="shared" si="12"/>
        <v>13.668084074637498</v>
      </c>
      <c r="H96" s="146">
        <f t="shared" si="18"/>
        <v>0.35924630412529324</v>
      </c>
      <c r="I96" s="146">
        <f t="shared" si="19"/>
        <v>0.35944125531461829</v>
      </c>
      <c r="J96" s="146">
        <f t="shared" si="20"/>
        <v>0.26424696110447798</v>
      </c>
      <c r="K96" s="146">
        <f t="shared" si="21"/>
        <v>0.735559303102301</v>
      </c>
      <c r="L96" s="146">
        <f t="shared" si="22"/>
        <v>0.80981378898170686</v>
      </c>
    </row>
    <row r="97" spans="1:12">
      <c r="A97" s="163">
        <f t="shared" si="23"/>
        <v>8.3333333333333287E-2</v>
      </c>
      <c r="B97" s="146">
        <f t="shared" si="14"/>
        <v>38.73358024977675</v>
      </c>
      <c r="C97" s="146">
        <f t="shared" si="15"/>
        <v>37.513257326108047</v>
      </c>
      <c r="D97" s="164">
        <f t="shared" si="16"/>
        <v>37.850412811874399</v>
      </c>
      <c r="E97" s="146">
        <f t="shared" si="17"/>
        <v>15.77089417153341</v>
      </c>
      <c r="F97" s="146">
        <f t="shared" si="11"/>
        <v>13.247207464620168</v>
      </c>
      <c r="G97" s="146">
        <f t="shared" si="12"/>
        <v>13.330617876430498</v>
      </c>
      <c r="H97" s="146">
        <f t="shared" si="18"/>
        <v>0.35026514652216095</v>
      </c>
      <c r="I97" s="146">
        <f t="shared" si="19"/>
        <v>0.35045522393175049</v>
      </c>
      <c r="J97" s="146">
        <f t="shared" si="20"/>
        <v>0.25569132985345527</v>
      </c>
      <c r="K97" s="146">
        <f t="shared" si="21"/>
        <v>0.72999364165191905</v>
      </c>
      <c r="L97" s="146">
        <f t="shared" si="22"/>
        <v>0.80710247687124637</v>
      </c>
    </row>
    <row r="98" spans="1:12">
      <c r="A98" s="163">
        <f t="shared" si="23"/>
        <v>8.4722222222222171E-2</v>
      </c>
      <c r="B98" s="146">
        <f t="shared" si="14"/>
        <v>38.215210529404992</v>
      </c>
      <c r="C98" s="146">
        <f t="shared" si="15"/>
        <v>37.075425892955344</v>
      </c>
      <c r="D98" s="164">
        <f t="shared" si="16"/>
        <v>37.409684549218639</v>
      </c>
      <c r="E98" s="146">
        <f t="shared" si="17"/>
        <v>15.291906750966877</v>
      </c>
      <c r="F98" s="146">
        <f t="shared" si="11"/>
        <v>12.916027278004716</v>
      </c>
      <c r="G98" s="146">
        <f t="shared" si="12"/>
        <v>13.001483748344928</v>
      </c>
      <c r="H98" s="146">
        <f t="shared" si="18"/>
        <v>0.34150851785910691</v>
      </c>
      <c r="I98" s="146">
        <f t="shared" si="19"/>
        <v>0.34169384333345809</v>
      </c>
      <c r="J98" s="146">
        <f t="shared" si="20"/>
        <v>0.24741270775250004</v>
      </c>
      <c r="K98" s="146">
        <f t="shared" si="21"/>
        <v>0.72447009317223787</v>
      </c>
      <c r="L98" s="146">
        <f t="shared" si="22"/>
        <v>0.80445810729531186</v>
      </c>
    </row>
    <row r="99" spans="1:12">
      <c r="A99" s="163">
        <f t="shared" si="23"/>
        <v>8.6111111111111055E-2</v>
      </c>
      <c r="B99" s="146">
        <f t="shared" si="14"/>
        <v>37.712504964333746</v>
      </c>
      <c r="C99" s="146">
        <f t="shared" si="15"/>
        <v>36.648540245631459</v>
      </c>
      <c r="D99" s="164">
        <f t="shared" si="16"/>
        <v>36.979837906139458</v>
      </c>
      <c r="E99" s="146">
        <f t="shared" si="17"/>
        <v>14.829814169601743</v>
      </c>
      <c r="F99" s="146">
        <f t="shared" si="11"/>
        <v>12.593126596054624</v>
      </c>
      <c r="G99" s="146">
        <f t="shared" si="12"/>
        <v>12.680475970835825</v>
      </c>
      <c r="H99" s="146">
        <f t="shared" si="18"/>
        <v>0.3329708049126292</v>
      </c>
      <c r="I99" s="146">
        <f t="shared" si="19"/>
        <v>0.33315149725012233</v>
      </c>
      <c r="J99" s="146">
        <f t="shared" si="20"/>
        <v>0.23940212596378269</v>
      </c>
      <c r="K99" s="146">
        <f t="shared" si="21"/>
        <v>0.71898833901248871</v>
      </c>
      <c r="L99" s="146">
        <f t="shared" si="22"/>
        <v>0.80187902743683681</v>
      </c>
    </row>
    <row r="100" spans="1:12">
      <c r="A100" s="163">
        <f t="shared" si="23"/>
        <v>8.7499999999999939E-2</v>
      </c>
      <c r="B100" s="146">
        <f t="shared" si="14"/>
        <v>37.224915637327747</v>
      </c>
      <c r="C100" s="146">
        <f t="shared" si="15"/>
        <v>36.232326739490674</v>
      </c>
      <c r="D100" s="164">
        <f t="shared" si="16"/>
        <v>36.56060421449223</v>
      </c>
      <c r="E100" s="146">
        <f t="shared" si="17"/>
        <v>14.38388514667697</v>
      </c>
      <c r="F100" s="146">
        <f t="shared" si="11"/>
        <v>12.278298431153164</v>
      </c>
      <c r="G100" s="146">
        <f t="shared" si="12"/>
        <v>12.367393903593243</v>
      </c>
      <c r="H100" s="146">
        <f t="shared" si="18"/>
        <v>0.32464653478981348</v>
      </c>
      <c r="I100" s="146">
        <f t="shared" si="19"/>
        <v>0.32482270981886679</v>
      </c>
      <c r="J100" s="146">
        <f t="shared" si="20"/>
        <v>0.23165090603718086</v>
      </c>
      <c r="K100" s="146">
        <f t="shared" si="21"/>
        <v>0.71354806293299589</v>
      </c>
      <c r="L100" s="146">
        <f t="shared" si="22"/>
        <v>0.79936362528695337</v>
      </c>
    </row>
    <row r="101" spans="1:12">
      <c r="A101" s="163">
        <f t="shared" si="23"/>
        <v>8.8888888888888823E-2</v>
      </c>
      <c r="B101" s="146">
        <f t="shared" si="14"/>
        <v>36.751918080175976</v>
      </c>
      <c r="C101" s="146">
        <f t="shared" si="15"/>
        <v>35.826518571003405</v>
      </c>
      <c r="D101" s="164">
        <f t="shared" si="16"/>
        <v>36.151721439572448</v>
      </c>
      <c r="E101" s="146">
        <f t="shared" si="17"/>
        <v>13.953427935977253</v>
      </c>
      <c r="F101" s="146">
        <f t="shared" si="11"/>
        <v>11.971340970374435</v>
      </c>
      <c r="G101" s="146">
        <f t="shared" si="12"/>
        <v>12.062041860133565</v>
      </c>
      <c r="H101" s="146">
        <f t="shared" si="18"/>
        <v>0.31653037142006807</v>
      </c>
      <c r="I101" s="146">
        <f t="shared" si="19"/>
        <v>0.31670214207339775</v>
      </c>
      <c r="J101" s="146">
        <f t="shared" si="20"/>
        <v>0.2241506505082787</v>
      </c>
      <c r="K101" s="146">
        <f t="shared" si="21"/>
        <v>0.70814895108693354</v>
      </c>
      <c r="L101" s="146">
        <f t="shared" si="22"/>
        <v>0.79691032863743472</v>
      </c>
    </row>
    <row r="102" spans="1:12">
      <c r="A102" s="163">
        <f t="shared" si="23"/>
        <v>9.0277777777777707E-2</v>
      </c>
      <c r="B102" s="146">
        <f t="shared" si="14"/>
        <v>36.293010021971917</v>
      </c>
      <c r="C102" s="146">
        <f t="shared" si="15"/>
        <v>35.430855606728322</v>
      </c>
      <c r="D102" s="164">
        <f t="shared" si="16"/>
        <v>35.752934016335544</v>
      </c>
      <c r="E102" s="146">
        <f t="shared" si="17"/>
        <v>13.537787717019754</v>
      </c>
      <c r="F102" s="146">
        <f t="shared" ref="F102:F143" si="24">(C101-C102)*F$34</f>
        <v>11.672057446114938</v>
      </c>
      <c r="G102" s="146">
        <f t="shared" ref="G102:G143" si="25">(D101-D102)*G$34</f>
        <v>11.764228985488661</v>
      </c>
      <c r="H102" s="146">
        <f t="shared" si="18"/>
        <v>0.30861711213456644</v>
      </c>
      <c r="I102" s="146">
        <f t="shared" si="19"/>
        <v>0.30878458852155921</v>
      </c>
      <c r="J102" s="146">
        <f t="shared" si="20"/>
        <v>0.21689323380077896</v>
      </c>
      <c r="K102" s="146">
        <f t="shared" si="21"/>
        <v>0.70279069200222088</v>
      </c>
      <c r="L102" s="146">
        <f t="shared" si="22"/>
        <v>0.79451760409801331</v>
      </c>
    </row>
    <row r="103" spans="1:12">
      <c r="A103" s="163">
        <f t="shared" si="23"/>
        <v>9.1666666666666591E-2</v>
      </c>
      <c r="B103" s="146">
        <f t="shared" ref="B103:B143" si="26">B102-((B102+273)^4-(B$35+273)^4)*B$34</f>
        <v>35.847710218951534</v>
      </c>
      <c r="C103" s="146">
        <f t="shared" ref="C103:C143" si="27">C102-(C102-C$35)*C$32</f>
        <v>35.045084216560113</v>
      </c>
      <c r="D103" s="164">
        <f t="shared" ref="D103:D143" si="28">D$35+(D$37-D$35)*EXP(($A$37-$A103)/D$34)</f>
        <v>35.36399268966035</v>
      </c>
      <c r="E103" s="146">
        <f t="shared" ref="E103:E143" si="29">(B102-B103)*E$34</f>
        <v>13.136344189101298</v>
      </c>
      <c r="F103" s="146">
        <f t="shared" si="24"/>
        <v>11.380256009962164</v>
      </c>
      <c r="G103" s="146">
        <f t="shared" si="25"/>
        <v>11.473769136918236</v>
      </c>
      <c r="H103" s="146">
        <f t="shared" ref="H103:H143" si="30">((C103-H$35)/50)^H$34</f>
        <v>0.30090168433120223</v>
      </c>
      <c r="I103" s="146">
        <f t="shared" ref="I103:I143" si="31">F103/I$34</f>
        <v>0.30106497380852287</v>
      </c>
      <c r="J103" s="146">
        <f t="shared" ref="J103:J143" si="32">((C103-H$35)/50)^J$34</f>
        <v>0.20987079342346976</v>
      </c>
      <c r="K103" s="146">
        <f t="shared" ref="K103:K143" si="33">J103/H103</f>
        <v>0.69747297656355145</v>
      </c>
      <c r="L103" s="146">
        <f t="shared" ref="L103:L143" si="34">1+(D103-70)*L$34</f>
        <v>0.79218395613796211</v>
      </c>
    </row>
    <row r="104" spans="1:12">
      <c r="A104" s="163">
        <f t="shared" si="23"/>
        <v>9.3055555555555475E-2</v>
      </c>
      <c r="B104" s="146">
        <f t="shared" si="26"/>
        <v>35.415557359624877</v>
      </c>
      <c r="C104" s="146">
        <f t="shared" si="27"/>
        <v>34.668957111146113</v>
      </c>
      <c r="D104" s="164">
        <f t="shared" si="28"/>
        <v>34.984654358556583</v>
      </c>
      <c r="E104" s="146">
        <f t="shared" si="29"/>
        <v>12.748509350136363</v>
      </c>
      <c r="F104" s="146">
        <f t="shared" si="24"/>
        <v>11.095749609712989</v>
      </c>
      <c r="G104" s="146">
        <f t="shared" si="25"/>
        <v>11.190480767561134</v>
      </c>
      <c r="H104" s="146">
        <f t="shared" si="30"/>
        <v>0.29337914222292227</v>
      </c>
      <c r="I104" s="146">
        <f t="shared" si="31"/>
        <v>0.29353834946330659</v>
      </c>
      <c r="J104" s="146">
        <f t="shared" si="32"/>
        <v>0.20307572145221325</v>
      </c>
      <c r="K104" s="146">
        <f t="shared" si="33"/>
        <v>0.69219549799456248</v>
      </c>
      <c r="L104" s="146">
        <f t="shared" si="34"/>
        <v>0.78990792615133953</v>
      </c>
    </row>
    <row r="105" spans="1:12">
      <c r="A105" s="163">
        <f t="shared" si="23"/>
        <v>9.4444444444444359E-2</v>
      </c>
      <c r="B105" s="146">
        <f t="shared" si="26"/>
        <v>34.996109039488722</v>
      </c>
      <c r="C105" s="146">
        <f t="shared" si="27"/>
        <v>34.302233183367463</v>
      </c>
      <c r="D105" s="164">
        <f t="shared" si="28"/>
        <v>34.614681924218793</v>
      </c>
      <c r="E105" s="146">
        <f t="shared" si="29"/>
        <v>12.373725444016571</v>
      </c>
      <c r="F105" s="146">
        <f t="shared" si="24"/>
        <v>10.818355869470196</v>
      </c>
      <c r="G105" s="146">
        <f t="shared" si="25"/>
        <v>10.91418681296479</v>
      </c>
      <c r="H105" s="146">
        <f t="shared" si="30"/>
        <v>0.28604466366734926</v>
      </c>
      <c r="I105" s="146">
        <f t="shared" si="31"/>
        <v>0.2861998907267248</v>
      </c>
      <c r="J105" s="146">
        <f t="shared" si="32"/>
        <v>0.19650065628772273</v>
      </c>
      <c r="K105" s="146">
        <f t="shared" si="33"/>
        <v>0.68695795184013575</v>
      </c>
      <c r="L105" s="146">
        <f t="shared" si="34"/>
        <v>0.78768809154531272</v>
      </c>
    </row>
    <row r="106" spans="1:12">
      <c r="A106" s="163">
        <f t="shared" si="23"/>
        <v>9.5833333333333243E-2</v>
      </c>
      <c r="B106" s="146">
        <f t="shared" si="26"/>
        <v>34.588940800104446</v>
      </c>
      <c r="C106" s="146">
        <f t="shared" si="27"/>
        <v>33.944677353783277</v>
      </c>
      <c r="D106" s="164">
        <f t="shared" si="28"/>
        <v>34.253844141831891</v>
      </c>
      <c r="E106" s="146">
        <f t="shared" si="29"/>
        <v>12.011463061836153</v>
      </c>
      <c r="F106" s="146">
        <f t="shared" si="24"/>
        <v>10.547896972733483</v>
      </c>
      <c r="G106" s="146">
        <f t="shared" si="25"/>
        <v>10.644714580413609</v>
      </c>
      <c r="H106" s="146">
        <f t="shared" si="30"/>
        <v>0.27889354707566555</v>
      </c>
      <c r="I106" s="146">
        <f t="shared" si="31"/>
        <v>0.27904489345855776</v>
      </c>
      <c r="J106" s="146">
        <f t="shared" si="32"/>
        <v>0.19013847468020373</v>
      </c>
      <c r="K106" s="146">
        <f t="shared" si="33"/>
        <v>0.68176003594883461</v>
      </c>
      <c r="L106" s="146">
        <f t="shared" si="34"/>
        <v>0.78552306485099133</v>
      </c>
    </row>
    <row r="107" spans="1:12">
      <c r="A107" s="163">
        <f t="shared" si="23"/>
        <v>9.7222222222222127E-2</v>
      </c>
      <c r="B107" s="146">
        <f t="shared" si="26"/>
        <v>34.19364522777353</v>
      </c>
      <c r="C107" s="146">
        <f t="shared" si="27"/>
        <v>33.596060419938695</v>
      </c>
      <c r="D107" s="164">
        <f t="shared" si="28"/>
        <v>33.901915476035633</v>
      </c>
      <c r="E107" s="146">
        <f t="shared" si="29"/>
        <v>11.66121938376202</v>
      </c>
      <c r="F107" s="146">
        <f t="shared" si="24"/>
        <v>10.284199548415167</v>
      </c>
      <c r="G107" s="146">
        <f t="shared" si="25"/>
        <v>10.381895640989615</v>
      </c>
      <c r="H107" s="146">
        <f t="shared" si="30"/>
        <v>0.27192120839877387</v>
      </c>
      <c r="I107" s="146">
        <f t="shared" si="31"/>
        <v>0.27206877112209438</v>
      </c>
      <c r="J107" s="146">
        <f t="shared" si="32"/>
        <v>0.18398228401221497</v>
      </c>
      <c r="K107" s="146">
        <f t="shared" si="33"/>
        <v>0.6766014504554716</v>
      </c>
      <c r="L107" s="146">
        <f t="shared" si="34"/>
        <v>0.78341149285621381</v>
      </c>
    </row>
    <row r="108" spans="1:12">
      <c r="A108" s="163">
        <f t="shared" si="23"/>
        <v>9.8611111111111011E-2</v>
      </c>
      <c r="B108" s="146">
        <f t="shared" si="26"/>
        <v>33.809831107448147</v>
      </c>
      <c r="C108" s="146">
        <f t="shared" si="27"/>
        <v>33.256158909440231</v>
      </c>
      <c r="D108" s="164">
        <f t="shared" si="28"/>
        <v>33.558675959957625</v>
      </c>
      <c r="E108" s="146">
        <f t="shared" si="29"/>
        <v>11.322516549598788</v>
      </c>
      <c r="F108" s="146">
        <f t="shared" si="24"/>
        <v>10.027094559704693</v>
      </c>
      <c r="G108" s="146">
        <f t="shared" si="25"/>
        <v>10.125565724301222</v>
      </c>
      <c r="H108" s="146">
        <f t="shared" si="30"/>
        <v>0.2651231781888046</v>
      </c>
      <c r="I108" s="146">
        <f t="shared" si="31"/>
        <v>0.26526705184403954</v>
      </c>
      <c r="J108" s="146">
        <f t="shared" si="32"/>
        <v>0.17802541483139189</v>
      </c>
      <c r="K108" s="146">
        <f t="shared" si="33"/>
        <v>0.6714818977638124</v>
      </c>
      <c r="L108" s="146">
        <f t="shared" si="34"/>
        <v>0.78135205575974576</v>
      </c>
    </row>
    <row r="109" spans="1:12">
      <c r="A109" s="163">
        <f t="shared" si="23"/>
        <v>9.9999999999999895E-2</v>
      </c>
      <c r="B109" s="146">
        <f t="shared" si="26"/>
        <v>33.437122627880456</v>
      </c>
      <c r="C109" s="146">
        <f t="shared" si="27"/>
        <v>32.924754936704225</v>
      </c>
      <c r="D109" s="164">
        <f t="shared" si="28"/>
        <v>33.223911057726951</v>
      </c>
      <c r="E109" s="146">
        <f t="shared" si="29"/>
        <v>10.994900147246902</v>
      </c>
      <c r="F109" s="146">
        <f t="shared" si="24"/>
        <v>9.7764171957121597</v>
      </c>
      <c r="G109" s="146">
        <f t="shared" si="25"/>
        <v>9.8755646158048833</v>
      </c>
      <c r="H109" s="146">
        <f t="shared" si="30"/>
        <v>0.25849509873408449</v>
      </c>
      <c r="I109" s="146">
        <f t="shared" si="31"/>
        <v>0.25863537554794075</v>
      </c>
      <c r="J109" s="146">
        <f t="shared" si="32"/>
        <v>0.17226141362493899</v>
      </c>
      <c r="K109" s="146">
        <f t="shared" si="33"/>
        <v>0.66640108252940367</v>
      </c>
      <c r="L109" s="146">
        <f t="shared" si="34"/>
        <v>0.77934346634636165</v>
      </c>
    </row>
    <row r="110" spans="1:12">
      <c r="A110" s="163">
        <f t="shared" si="23"/>
        <v>0.10138888888888878</v>
      </c>
      <c r="B110" s="146">
        <f t="shared" si="26"/>
        <v>33.075158634346053</v>
      </c>
      <c r="C110" s="146">
        <f t="shared" si="27"/>
        <v>32.60163606328662</v>
      </c>
      <c r="D110" s="164">
        <f t="shared" si="28"/>
        <v>32.897411530382165</v>
      </c>
      <c r="E110" s="146">
        <f t="shared" si="29"/>
        <v>10.677937809264876</v>
      </c>
      <c r="F110" s="146">
        <f t="shared" si="24"/>
        <v>9.5320067658193715</v>
      </c>
      <c r="G110" s="146">
        <f t="shared" si="25"/>
        <v>9.6317360566712047</v>
      </c>
      <c r="H110" s="146">
        <f t="shared" si="30"/>
        <v>0.2520327212657324</v>
      </c>
      <c r="I110" s="146">
        <f t="shared" si="31"/>
        <v>0.25216949115924264</v>
      </c>
      <c r="J110" s="146">
        <f t="shared" si="32"/>
        <v>0.16668403582806748</v>
      </c>
      <c r="K110" s="146">
        <f t="shared" si="33"/>
        <v>0.66135871164253723</v>
      </c>
      <c r="L110" s="146">
        <f t="shared" si="34"/>
        <v>0.77738446918229298</v>
      </c>
    </row>
    <row r="111" spans="1:12">
      <c r="A111" s="163">
        <f t="shared" si="23"/>
        <v>0.10277777777777766</v>
      </c>
      <c r="B111" s="146">
        <f t="shared" si="26"/>
        <v>32.723591925577722</v>
      </c>
      <c r="C111" s="146">
        <f t="shared" si="27"/>
        <v>32.286595161704454</v>
      </c>
      <c r="D111" s="164">
        <f t="shared" si="28"/>
        <v>32.57897330509023</v>
      </c>
      <c r="E111" s="146">
        <f t="shared" si="29"/>
        <v>10.37121790866577</v>
      </c>
      <c r="F111" s="146">
        <f t="shared" si="24"/>
        <v>9.2937065966738714</v>
      </c>
      <c r="G111" s="146">
        <f t="shared" si="25"/>
        <v>9.3939276461120791</v>
      </c>
      <c r="H111" s="146">
        <f t="shared" si="30"/>
        <v>0.24573190323408908</v>
      </c>
      <c r="I111" s="146">
        <f t="shared" si="31"/>
        <v>0.24586525388026118</v>
      </c>
      <c r="J111" s="146">
        <f t="shared" si="32"/>
        <v>0.16128723905880071</v>
      </c>
      <c r="K111" s="146">
        <f t="shared" si="33"/>
        <v>0.65635449421134096</v>
      </c>
      <c r="L111" s="146">
        <f t="shared" si="34"/>
        <v>0.77547383983054141</v>
      </c>
    </row>
    <row r="112" spans="1:12">
      <c r="A112" s="163">
        <f t="shared" si="23"/>
        <v>0.10416666666666655</v>
      </c>
      <c r="B112" s="146">
        <f t="shared" si="26"/>
        <v>32.38208859181853</v>
      </c>
      <c r="C112" s="146">
        <f t="shared" si="27"/>
        <v>31.979430282661845</v>
      </c>
      <c r="D112" s="164">
        <f t="shared" si="28"/>
        <v>32.268397347594302</v>
      </c>
      <c r="E112" s="146">
        <f t="shared" si="29"/>
        <v>10.074348345896169</v>
      </c>
      <c r="F112" s="146">
        <f t="shared" si="24"/>
        <v>9.0613639317569827</v>
      </c>
      <c r="G112" s="146">
        <f t="shared" si="25"/>
        <v>9.1619907461298737</v>
      </c>
      <c r="H112" s="146">
        <f t="shared" si="30"/>
        <v>0.23958860565323689</v>
      </c>
      <c r="I112" s="146">
        <f t="shared" si="31"/>
        <v>0.23971862253325352</v>
      </c>
      <c r="J112" s="146">
        <f t="shared" si="32"/>
        <v>0.1560651765718189</v>
      </c>
      <c r="K112" s="146">
        <f t="shared" si="33"/>
        <v>0.65138814154499602</v>
      </c>
      <c r="L112" s="146">
        <f t="shared" si="34"/>
        <v>0.77361038408556582</v>
      </c>
    </row>
    <row r="113" spans="1:12">
      <c r="A113" s="163">
        <f t="shared" si="23"/>
        <v>0.10555555555555543</v>
      </c>
      <c r="B113" s="146">
        <f t="shared" si="26"/>
        <v>32.050327391151598</v>
      </c>
      <c r="C113" s="146">
        <f t="shared" si="27"/>
        <v>31.6799445255953</v>
      </c>
      <c r="D113" s="164">
        <f t="shared" si="28"/>
        <v>31.965489537810829</v>
      </c>
      <c r="E113" s="146">
        <f t="shared" si="29"/>
        <v>9.7869554196744986</v>
      </c>
      <c r="F113" s="146">
        <f t="shared" si="24"/>
        <v>8.8348298334630844</v>
      </c>
      <c r="G113" s="146">
        <f t="shared" si="25"/>
        <v>8.935780388612466</v>
      </c>
      <c r="H113" s="146">
        <f t="shared" si="30"/>
        <v>0.23359889051190599</v>
      </c>
      <c r="I113" s="146">
        <f t="shared" si="31"/>
        <v>0.2337256569699229</v>
      </c>
      <c r="J113" s="146">
        <f t="shared" si="32"/>
        <v>0.1510121909242515</v>
      </c>
      <c r="K113" s="146">
        <f t="shared" si="33"/>
        <v>0.64645936713708307</v>
      </c>
      <c r="L113" s="146">
        <f t="shared" si="34"/>
        <v>0.77179293722686493</v>
      </c>
    </row>
    <row r="114" spans="1:12">
      <c r="A114" s="163">
        <f t="shared" si="23"/>
        <v>0.10694444444444431</v>
      </c>
      <c r="B114" s="146">
        <f t="shared" si="26"/>
        <v>31.727999161489304</v>
      </c>
      <c r="C114" s="146">
        <f t="shared" si="27"/>
        <v>31.387945912455418</v>
      </c>
      <c r="D114" s="164">
        <f t="shared" si="28"/>
        <v>31.670060548498213</v>
      </c>
      <c r="E114" s="146">
        <f t="shared" si="29"/>
        <v>9.5086827750376539</v>
      </c>
      <c r="F114" s="146">
        <f t="shared" si="24"/>
        <v>8.6139590876265046</v>
      </c>
      <c r="G114" s="146">
        <f t="shared" si="25"/>
        <v>8.715155184722148</v>
      </c>
      <c r="H114" s="146">
        <f t="shared" si="30"/>
        <v>0.22775891824910835</v>
      </c>
      <c r="I114" s="146">
        <f t="shared" si="31"/>
        <v>0.22788251554567474</v>
      </c>
      <c r="J114" s="146">
        <f t="shared" si="32"/>
        <v>0.14612280784655512</v>
      </c>
      <c r="K114" s="146">
        <f t="shared" si="33"/>
        <v>0.64156788664905406</v>
      </c>
      <c r="L114" s="146">
        <f t="shared" si="34"/>
        <v>0.77002036329098922</v>
      </c>
    </row>
    <row r="115" spans="1:12">
      <c r="A115" s="163">
        <f t="shared" si="23"/>
        <v>0.1083333333333332</v>
      </c>
      <c r="B115" s="146">
        <f t="shared" si="26"/>
        <v>31.414806265810405</v>
      </c>
      <c r="C115" s="146">
        <f t="shared" si="27"/>
        <v>31.103247264644033</v>
      </c>
      <c r="D115" s="164">
        <f t="shared" si="28"/>
        <v>31.381925726921111</v>
      </c>
      <c r="E115" s="146">
        <f t="shared" si="29"/>
        <v>9.2391904225275194</v>
      </c>
      <c r="F115" s="146">
        <f t="shared" si="24"/>
        <v>8.3986101104358735</v>
      </c>
      <c r="G115" s="146">
        <f t="shared" si="25"/>
        <v>8.4999772365245292</v>
      </c>
      <c r="H115" s="146">
        <f t="shared" si="30"/>
        <v>0.22206494529288065</v>
      </c>
      <c r="I115" s="146">
        <f t="shared" si="31"/>
        <v>0.22218545265703371</v>
      </c>
      <c r="J115" s="146">
        <f t="shared" si="32"/>
        <v>0.14139173031183605</v>
      </c>
      <c r="K115" s="146">
        <f t="shared" si="33"/>
        <v>0.6367134178938284</v>
      </c>
      <c r="L115" s="146">
        <f t="shared" si="34"/>
        <v>0.76829155436152663</v>
      </c>
    </row>
    <row r="116" spans="1:12">
      <c r="A116" s="163">
        <f t="shared" si="23"/>
        <v>0.10972222222222208</v>
      </c>
      <c r="B116" s="146">
        <f t="shared" si="26"/>
        <v>31.11046206842078</v>
      </c>
      <c r="C116" s="146">
        <f t="shared" si="27"/>
        <v>30.825666083027933</v>
      </c>
      <c r="D116" s="164">
        <f t="shared" si="28"/>
        <v>31.100904979436446</v>
      </c>
      <c r="E116" s="146">
        <f t="shared" si="29"/>
        <v>8.9781538229939386</v>
      </c>
      <c r="F116" s="146">
        <f t="shared" si="24"/>
        <v>8.1886448576749373</v>
      </c>
      <c r="G116" s="146">
        <f t="shared" si="25"/>
        <v>8.2901120507975943</v>
      </c>
      <c r="H116" s="146">
        <f t="shared" si="30"/>
        <v>0.21651332166055867</v>
      </c>
      <c r="I116" s="146">
        <f t="shared" si="31"/>
        <v>0.21663081634060682</v>
      </c>
      <c r="J116" s="146">
        <f t="shared" si="32"/>
        <v>0.1368138327971932</v>
      </c>
      <c r="K116" s="146">
        <f t="shared" si="33"/>
        <v>0.63189568081951419</v>
      </c>
      <c r="L116" s="146">
        <f t="shared" si="34"/>
        <v>0.76660542987661873</v>
      </c>
    </row>
    <row r="117" spans="1:12">
      <c r="A117" s="163">
        <f t="shared" si="23"/>
        <v>0.11111111111111097</v>
      </c>
      <c r="B117" s="146">
        <f t="shared" si="26"/>
        <v>30.81469044018456</v>
      </c>
      <c r="C117" s="146">
        <f t="shared" si="27"/>
        <v>30.555024430952233</v>
      </c>
      <c r="D117" s="164">
        <f t="shared" si="28"/>
        <v>30.826822658929043</v>
      </c>
      <c r="E117" s="146">
        <f t="shared" si="29"/>
        <v>8.7252630329685079</v>
      </c>
      <c r="F117" s="146">
        <f t="shared" si="24"/>
        <v>7.9839287362331373</v>
      </c>
      <c r="G117" s="146">
        <f t="shared" si="25"/>
        <v>8.0854284549684081</v>
      </c>
      <c r="H117" s="146">
        <f t="shared" si="30"/>
        <v>0.21110048861904468</v>
      </c>
      <c r="I117" s="146">
        <f t="shared" si="31"/>
        <v>0.21121504593209359</v>
      </c>
      <c r="J117" s="146">
        <f t="shared" si="32"/>
        <v>0.13238415573086335</v>
      </c>
      <c r="K117" s="146">
        <f t="shared" si="33"/>
        <v>0.62711439749325215</v>
      </c>
      <c r="L117" s="146">
        <f t="shared" si="34"/>
        <v>0.76496093595357428</v>
      </c>
    </row>
    <row r="118" spans="1:12">
      <c r="A118" s="163">
        <f t="shared" si="23"/>
        <v>0.11249999999999985</v>
      </c>
      <c r="B118" s="146">
        <f t="shared" si="26"/>
        <v>30.527225290828568</v>
      </c>
      <c r="C118" s="146">
        <f t="shared" si="27"/>
        <v>30.291148820178428</v>
      </c>
      <c r="D118" s="164">
        <f t="shared" si="28"/>
        <v>30.559507455026448</v>
      </c>
      <c r="E118" s="146">
        <f t="shared" si="29"/>
        <v>8.4802219060017539</v>
      </c>
      <c r="F118" s="146">
        <f t="shared" si="24"/>
        <v>7.784330517827259</v>
      </c>
      <c r="G118" s="146">
        <f t="shared" si="25"/>
        <v>7.8857985151265328</v>
      </c>
      <c r="H118" s="146">
        <f t="shared" si="30"/>
        <v>0.20582297640356856</v>
      </c>
      <c r="I118" s="146">
        <f t="shared" si="31"/>
        <v>0.20593466978378994</v>
      </c>
      <c r="J118" s="146">
        <f t="shared" si="32"/>
        <v>0.1280979001191539</v>
      </c>
      <c r="K118" s="146">
        <f t="shared" si="33"/>
        <v>0.6223692920851811</v>
      </c>
      <c r="L118" s="146">
        <f t="shared" si="34"/>
        <v>0.76335704473015875</v>
      </c>
    </row>
    <row r="119" spans="1:12">
      <c r="A119" s="163">
        <f t="shared" si="23"/>
        <v>0.11388888888888873</v>
      </c>
      <c r="B119" s="146">
        <f t="shared" si="26"/>
        <v>30.247810126565824</v>
      </c>
      <c r="C119" s="146">
        <f t="shared" si="27"/>
        <v>30.033870099673969</v>
      </c>
      <c r="D119" s="164">
        <f t="shared" si="28"/>
        <v>30.298792287024369</v>
      </c>
      <c r="E119" s="146">
        <f t="shared" si="29"/>
        <v>8.2427473457509493</v>
      </c>
      <c r="F119" s="146">
        <f t="shared" si="24"/>
        <v>7.5897222548815435</v>
      </c>
      <c r="G119" s="146">
        <f t="shared" si="25"/>
        <v>7.6910974560613354</v>
      </c>
      <c r="H119" s="146">
        <f t="shared" si="30"/>
        <v>0.20067740199347939</v>
      </c>
      <c r="I119" s="146">
        <f t="shared" si="31"/>
        <v>0.20078630303919429</v>
      </c>
      <c r="J119" s="146">
        <f t="shared" si="32"/>
        <v>0.12395042234734145</v>
      </c>
      <c r="K119" s="146">
        <f t="shared" si="33"/>
        <v>0.61766009085252649</v>
      </c>
      <c r="L119" s="146">
        <f t="shared" si="34"/>
        <v>0.76179275372214628</v>
      </c>
    </row>
    <row r="120" spans="1:12">
      <c r="A120" s="163">
        <f t="shared" si="23"/>
        <v>0.11527777777777762</v>
      </c>
      <c r="B120" s="146">
        <f t="shared" si="26"/>
        <v>29.976197631414543</v>
      </c>
      <c r="C120" s="146">
        <f t="shared" si="27"/>
        <v>29.78302334718212</v>
      </c>
      <c r="D120" s="164">
        <f t="shared" si="28"/>
        <v>30.044514199455808</v>
      </c>
      <c r="E120" s="146">
        <f t="shared" si="29"/>
        <v>8.0125686069627911</v>
      </c>
      <c r="F120" s="146">
        <f t="shared" si="24"/>
        <v>7.3999791985095573</v>
      </c>
      <c r="G120" s="146">
        <f t="shared" si="25"/>
        <v>7.5012035832725648</v>
      </c>
      <c r="H120" s="146">
        <f t="shared" si="30"/>
        <v>0.19566046694364239</v>
      </c>
      <c r="I120" s="146">
        <f t="shared" si="31"/>
        <v>0.19576664546321582</v>
      </c>
      <c r="J120" s="146">
        <f t="shared" si="32"/>
        <v>0.11993722914890352</v>
      </c>
      <c r="K120" s="146">
        <f t="shared" si="33"/>
        <v>0.61298652212380733</v>
      </c>
      <c r="L120" s="146">
        <f t="shared" si="34"/>
        <v>0.7602670851967348</v>
      </c>
    </row>
    <row r="121" spans="1:12">
      <c r="A121" s="163">
        <f t="shared" si="23"/>
        <v>0.1166666666666665</v>
      </c>
      <c r="B121" s="146">
        <f t="shared" si="26"/>
        <v>29.712149270708878</v>
      </c>
      <c r="C121" s="146">
        <f t="shared" si="27"/>
        <v>29.538447763502568</v>
      </c>
      <c r="D121" s="164">
        <f t="shared" si="28"/>
        <v>29.796514260238581</v>
      </c>
      <c r="E121" s="146">
        <f t="shared" si="29"/>
        <v>7.7894266408171227</v>
      </c>
      <c r="F121" s="146">
        <f t="shared" si="24"/>
        <v>7.2149797185467843</v>
      </c>
      <c r="G121" s="146">
        <f t="shared" si="25"/>
        <v>7.3159982069081888</v>
      </c>
      <c r="H121" s="146">
        <f t="shared" si="30"/>
        <v>0.19076895527005136</v>
      </c>
      <c r="I121" s="146">
        <f t="shared" si="31"/>
        <v>0.19087247932663451</v>
      </c>
      <c r="J121" s="146">
        <f t="shared" si="32"/>
        <v>0.11605397273763411</v>
      </c>
      <c r="K121" s="146">
        <f t="shared" si="33"/>
        <v>0.60834831628316477</v>
      </c>
      <c r="L121" s="146">
        <f t="shared" si="34"/>
        <v>0.75877908556143148</v>
      </c>
    </row>
    <row r="122" spans="1:12">
      <c r="A122" s="163">
        <f t="shared" si="23"/>
        <v>0.11805555555555539</v>
      </c>
      <c r="B122" s="146">
        <f t="shared" si="26"/>
        <v>29.455434915407384</v>
      </c>
      <c r="C122" s="146">
        <f t="shared" si="27"/>
        <v>29.299986569415005</v>
      </c>
      <c r="D122" s="164">
        <f t="shared" si="28"/>
        <v>29.554637461337599</v>
      </c>
      <c r="E122" s="146">
        <f t="shared" si="29"/>
        <v>7.5730734813940632</v>
      </c>
      <c r="F122" s="146">
        <f t="shared" si="24"/>
        <v>7.0346052255831069</v>
      </c>
      <c r="G122" s="146">
        <f t="shared" si="25"/>
        <v>7.135365567578976</v>
      </c>
      <c r="H122" s="146">
        <f t="shared" si="30"/>
        <v>0.18599973138830009</v>
      </c>
      <c r="I122" s="146">
        <f t="shared" si="31"/>
        <v>0.18610066734346845</v>
      </c>
      <c r="J122" s="146">
        <f t="shared" si="32"/>
        <v>0.11229644609736802</v>
      </c>
      <c r="K122" s="146">
        <f t="shared" si="33"/>
        <v>0.60374520575480672</v>
      </c>
      <c r="L122" s="146">
        <f t="shared" si="34"/>
        <v>0.75732782476802563</v>
      </c>
    </row>
    <row r="123" spans="1:12">
      <c r="A123" s="163">
        <f t="shared" si="23"/>
        <v>0.11944444444444427</v>
      </c>
      <c r="B123" s="146">
        <f t="shared" si="26"/>
        <v>29.205832485906026</v>
      </c>
      <c r="C123" s="146">
        <f t="shared" si="27"/>
        <v>29.067486905179628</v>
      </c>
      <c r="D123" s="164">
        <f t="shared" si="28"/>
        <v>29.318732621879786</v>
      </c>
      <c r="E123" s="146">
        <f t="shared" si="29"/>
        <v>7.3632716702900716</v>
      </c>
      <c r="F123" s="146">
        <f t="shared" si="24"/>
        <v>6.858740094943613</v>
      </c>
      <c r="G123" s="146">
        <f t="shared" si="25"/>
        <v>6.959192764005488</v>
      </c>
      <c r="H123" s="146">
        <f t="shared" si="30"/>
        <v>0.18134973810359256</v>
      </c>
      <c r="I123" s="146">
        <f t="shared" si="31"/>
        <v>0.18144815065988396</v>
      </c>
      <c r="J123" s="146">
        <f t="shared" si="32"/>
        <v>0.10866057842421216</v>
      </c>
      <c r="K123" s="146">
        <f t="shared" si="33"/>
        <v>0.59917692498757225</v>
      </c>
      <c r="L123" s="146">
        <f t="shared" si="34"/>
        <v>0.75591239573127877</v>
      </c>
    </row>
    <row r="124" spans="1:12">
      <c r="A124" s="163">
        <f t="shared" si="23"/>
        <v>0.12083333333333315</v>
      </c>
      <c r="B124" s="146">
        <f t="shared" si="26"/>
        <v>28.963127614155045</v>
      </c>
      <c r="C124" s="146">
        <f t="shared" si="27"/>
        <v>28.840799732550138</v>
      </c>
      <c r="D124" s="164">
        <f t="shared" si="28"/>
        <v>29.088652293661127</v>
      </c>
      <c r="E124" s="146">
        <f t="shared" si="29"/>
        <v>7.1597937166539261</v>
      </c>
      <c r="F124" s="146">
        <f t="shared" si="24"/>
        <v>6.6872715925699389</v>
      </c>
      <c r="G124" s="146">
        <f t="shared" si="25"/>
        <v>6.7873696824504268</v>
      </c>
      <c r="H124" s="146">
        <f t="shared" si="30"/>
        <v>0.17681599465100276</v>
      </c>
      <c r="I124" s="146">
        <f t="shared" si="31"/>
        <v>0.17691194689338463</v>
      </c>
      <c r="J124" s="146">
        <f t="shared" si="32"/>
        <v>0.10514243071634574</v>
      </c>
      <c r="K124" s="146">
        <f t="shared" si="33"/>
        <v>0.5946432104396131</v>
      </c>
      <c r="L124" s="146">
        <f t="shared" si="34"/>
        <v>0.75453191376196682</v>
      </c>
    </row>
    <row r="125" spans="1:12">
      <c r="A125" s="163">
        <f t="shared" si="23"/>
        <v>0.12222222222222204</v>
      </c>
      <c r="B125" s="146">
        <f t="shared" si="26"/>
        <v>28.7271133229642</v>
      </c>
      <c r="C125" s="146">
        <f t="shared" si="27"/>
        <v>28.619779739236385</v>
      </c>
      <c r="D125" s="164">
        <f t="shared" si="28"/>
        <v>28.86425266898674</v>
      </c>
      <c r="E125" s="146">
        <f t="shared" si="29"/>
        <v>6.9624215901299191</v>
      </c>
      <c r="F125" s="146">
        <f t="shared" si="24"/>
        <v>6.5200898027557166</v>
      </c>
      <c r="G125" s="146">
        <f t="shared" si="25"/>
        <v>6.6197889278944135</v>
      </c>
      <c r="H125" s="146">
        <f t="shared" si="30"/>
        <v>0.17239559478472771</v>
      </c>
      <c r="I125" s="146">
        <f t="shared" si="31"/>
        <v>0.17248914822105071</v>
      </c>
      <c r="J125" s="146">
        <f t="shared" si="32"/>
        <v>0.10173819150661048</v>
      </c>
      <c r="K125" s="146">
        <f t="shared" si="33"/>
        <v>0.59014380056318771</v>
      </c>
      <c r="L125" s="146">
        <f t="shared" si="34"/>
        <v>0.75318551601392048</v>
      </c>
    </row>
    <row r="126" spans="1:12">
      <c r="A126" s="163">
        <f t="shared" si="23"/>
        <v>0.12361111111111092</v>
      </c>
      <c r="B126" s="146">
        <f t="shared" si="26"/>
        <v>28.497589721459128</v>
      </c>
      <c r="C126" s="146">
        <f t="shared" si="27"/>
        <v>28.404285245755474</v>
      </c>
      <c r="D126" s="164">
        <f t="shared" si="28"/>
        <v>28.645393490786372</v>
      </c>
      <c r="E126" s="146">
        <f t="shared" si="29"/>
        <v>6.7709462443996209</v>
      </c>
      <c r="F126" s="146">
        <f t="shared" si="24"/>
        <v>6.3570875576868708</v>
      </c>
      <c r="G126" s="146">
        <f t="shared" si="25"/>
        <v>6.4563457569108671</v>
      </c>
      <c r="H126" s="146">
        <f t="shared" si="30"/>
        <v>0.16808570491510949</v>
      </c>
      <c r="I126" s="146">
        <f t="shared" si="31"/>
        <v>0.16817691951552569</v>
      </c>
      <c r="J126" s="146">
        <f t="shared" si="32"/>
        <v>9.8444172733269303E-2</v>
      </c>
      <c r="K126" s="146">
        <f t="shared" si="33"/>
        <v>0.58567843578957435</v>
      </c>
      <c r="L126" s="146">
        <f t="shared" si="34"/>
        <v>0.75187236094471821</v>
      </c>
    </row>
    <row r="127" spans="1:12">
      <c r="A127" s="163">
        <f t="shared" si="23"/>
        <v>0.12499999999999981</v>
      </c>
      <c r="B127" s="146">
        <f t="shared" si="26"/>
        <v>28.274363715723734</v>
      </c>
      <c r="C127" s="146">
        <f t="shared" si="27"/>
        <v>28.194178114611589</v>
      </c>
      <c r="D127" s="164">
        <f t="shared" si="28"/>
        <v>28.431937964949178</v>
      </c>
      <c r="E127" s="146">
        <f t="shared" si="29"/>
        <v>6.5851671691941451</v>
      </c>
      <c r="F127" s="146">
        <f t="shared" si="24"/>
        <v>6.1981603687446309</v>
      </c>
      <c r="G127" s="146">
        <f t="shared" si="25"/>
        <v>6.2969380121972218</v>
      </c>
      <c r="H127" s="146">
        <f t="shared" si="30"/>
        <v>0.16388356229223178</v>
      </c>
      <c r="I127" s="146">
        <f t="shared" si="31"/>
        <v>0.16397249652763576</v>
      </c>
      <c r="J127" s="146">
        <f t="shared" si="32"/>
        <v>9.5256805744459092E-2</v>
      </c>
      <c r="K127" s="146">
        <f t="shared" si="33"/>
        <v>0.5812468585140973</v>
      </c>
      <c r="L127" s="146">
        <f t="shared" si="34"/>
        <v>0.75059162778969513</v>
      </c>
    </row>
    <row r="128" spans="1:12">
      <c r="A128" s="163">
        <f t="shared" si="23"/>
        <v>0.12638888888888869</v>
      </c>
      <c r="B128" s="146">
        <f t="shared" si="26"/>
        <v>28.057248733729949</v>
      </c>
      <c r="C128" s="146">
        <f t="shared" si="27"/>
        <v>27.989323661746297</v>
      </c>
      <c r="D128" s="164">
        <f t="shared" si="28"/>
        <v>28.22375267482294</v>
      </c>
      <c r="E128" s="146">
        <f t="shared" si="29"/>
        <v>6.4048919688166439</v>
      </c>
      <c r="F128" s="146">
        <f t="shared" si="24"/>
        <v>6.0432063595260885</v>
      </c>
      <c r="G128" s="146">
        <f t="shared" si="25"/>
        <v>6.1414660587240206</v>
      </c>
      <c r="H128" s="146">
        <f t="shared" si="30"/>
        <v>0.15978647323492595</v>
      </c>
      <c r="I128" s="146">
        <f t="shared" si="31"/>
        <v>0.15987318411444679</v>
      </c>
      <c r="J128" s="146">
        <f t="shared" si="32"/>
        <v>9.2172637432008112E-2</v>
      </c>
      <c r="K128" s="146">
        <f t="shared" si="33"/>
        <v>0.57684881308126346</v>
      </c>
      <c r="L128" s="146">
        <f t="shared" si="34"/>
        <v>0.74934251604893765</v>
      </c>
    </row>
    <row r="129" spans="1:12">
      <c r="A129" s="163">
        <f t="shared" si="23"/>
        <v>0.12777777777777757</v>
      </c>
      <c r="B129" s="146">
        <f t="shared" si="26"/>
        <v>27.846064463717589</v>
      </c>
      <c r="C129" s="146">
        <f t="shared" si="27"/>
        <v>27.789590570202641</v>
      </c>
      <c r="D129" s="164">
        <f t="shared" si="28"/>
        <v>28.020707497824329</v>
      </c>
      <c r="E129" s="146">
        <f t="shared" si="29"/>
        <v>6.2299359653646285</v>
      </c>
      <c r="F129" s="146">
        <f t="shared" si="24"/>
        <v>5.892126200537863</v>
      </c>
      <c r="G129" s="146">
        <f t="shared" si="25"/>
        <v>5.9898327214590186</v>
      </c>
      <c r="H129" s="146">
        <f t="shared" si="30"/>
        <v>0.15579181140405282</v>
      </c>
      <c r="I129" s="146">
        <f t="shared" si="31"/>
        <v>0.15587635451158369</v>
      </c>
      <c r="J129" s="146">
        <f t="shared" si="32"/>
        <v>8.9188326490431485E-2</v>
      </c>
      <c r="K129" s="146">
        <f t="shared" si="33"/>
        <v>0.5724840457700161</v>
      </c>
      <c r="L129" s="146">
        <f t="shared" si="34"/>
        <v>0.74812424498694596</v>
      </c>
    </row>
    <row r="130" spans="1:12">
      <c r="A130" s="163">
        <f t="shared" ref="A130:A143" si="35">A129+A$34</f>
        <v>0.12916666666666646</v>
      </c>
      <c r="B130" s="146">
        <f t="shared" si="26"/>
        <v>27.6406366052435</v>
      </c>
      <c r="C130" s="146">
        <f t="shared" si="27"/>
        <v>27.594850805947576</v>
      </c>
      <c r="D130" s="164">
        <f t="shared" si="28"/>
        <v>27.822675524108035</v>
      </c>
      <c r="E130" s="146">
        <f t="shared" si="29"/>
        <v>6.060121824985611</v>
      </c>
      <c r="F130" s="146">
        <f t="shared" si="24"/>
        <v>5.7448230455244111</v>
      </c>
      <c r="G130" s="146">
        <f t="shared" si="25"/>
        <v>5.8419432246306631</v>
      </c>
      <c r="H130" s="146">
        <f t="shared" si="30"/>
        <v>0.15189701611895154</v>
      </c>
      <c r="I130" s="146">
        <f t="shared" si="31"/>
        <v>0.15197944564879395</v>
      </c>
      <c r="J130" s="146">
        <f t="shared" si="32"/>
        <v>8.63006397970498E-2</v>
      </c>
      <c r="K130" s="146">
        <f t="shared" si="33"/>
        <v>0.56815230477909595</v>
      </c>
      <c r="L130" s="146">
        <f t="shared" si="34"/>
        <v>0.74693605314464828</v>
      </c>
    </row>
    <row r="131" spans="1:12">
      <c r="A131" s="163">
        <f t="shared" si="35"/>
        <v>0.13055555555555534</v>
      </c>
      <c r="B131" s="146">
        <f t="shared" si="26"/>
        <v>27.440796632171608</v>
      </c>
      <c r="C131" s="146">
        <f t="shared" si="27"/>
        <v>27.404979535798887</v>
      </c>
      <c r="D131" s="164">
        <f t="shared" si="28"/>
        <v>27.629532977243997</v>
      </c>
      <c r="E131" s="146">
        <f t="shared" si="29"/>
        <v>5.8952792056208221</v>
      </c>
      <c r="F131" s="146">
        <f t="shared" si="24"/>
        <v>5.6012024693863349</v>
      </c>
      <c r="G131" s="146">
        <f t="shared" si="25"/>
        <v>5.6977051324891335</v>
      </c>
      <c r="H131" s="146">
        <f t="shared" si="30"/>
        <v>0.14809959071597775</v>
      </c>
      <c r="I131" s="146">
        <f t="shared" si="31"/>
        <v>0.14817995950757501</v>
      </c>
      <c r="J131" s="146">
        <f t="shared" si="32"/>
        <v>8.3506448909310638E-2</v>
      </c>
      <c r="K131" s="146">
        <f t="shared" si="33"/>
        <v>0.56385334021251643</v>
      </c>
      <c r="L131" s="146">
        <f t="shared" si="34"/>
        <v>0.74577719786346397</v>
      </c>
    </row>
    <row r="132" spans="1:12">
      <c r="A132" s="163">
        <f t="shared" si="35"/>
        <v>0.13194444444444423</v>
      </c>
      <c r="B132" s="146">
        <f t="shared" si="26"/>
        <v>27.246381566923702</v>
      </c>
      <c r="C132" s="146">
        <f t="shared" si="27"/>
        <v>27.219855047403914</v>
      </c>
      <c r="D132" s="164">
        <f t="shared" si="28"/>
        <v>27.441159136853109</v>
      </c>
      <c r="E132" s="146">
        <f t="shared" si="29"/>
        <v>5.7352444248132262</v>
      </c>
      <c r="F132" s="146">
        <f t="shared" si="24"/>
        <v>5.4611724076516897</v>
      </c>
      <c r="G132" s="146">
        <f t="shared" si="25"/>
        <v>5.5570282915311928</v>
      </c>
      <c r="H132" s="146">
        <f t="shared" si="30"/>
        <v>0.14439710094807828</v>
      </c>
      <c r="I132" s="146">
        <f t="shared" si="31"/>
        <v>0.14447546051988597</v>
      </c>
      <c r="J132" s="146">
        <f t="shared" si="32"/>
        <v>8.0802726675517564E-2</v>
      </c>
      <c r="K132" s="146">
        <f t="shared" si="33"/>
        <v>0.55958690406514655</v>
      </c>
      <c r="L132" s="146">
        <f t="shared" si="34"/>
        <v>0.74464695482111865</v>
      </c>
    </row>
    <row r="133" spans="1:12">
      <c r="A133" s="163">
        <f t="shared" si="35"/>
        <v>0.13333333333333311</v>
      </c>
      <c r="B133" s="146">
        <f t="shared" si="26"/>
        <v>27.057233765355615</v>
      </c>
      <c r="C133" s="146">
        <f t="shared" si="27"/>
        <v>27.039358671218817</v>
      </c>
      <c r="D133" s="164">
        <f t="shared" si="28"/>
        <v>27.257436263153032</v>
      </c>
      <c r="E133" s="146">
        <f t="shared" si="29"/>
        <v>5.5798601462585591</v>
      </c>
      <c r="F133" s="146">
        <f t="shared" si="24"/>
        <v>5.3246430974603634</v>
      </c>
      <c r="G133" s="146">
        <f t="shared" si="25"/>
        <v>5.4198247741522749</v>
      </c>
      <c r="H133" s="146">
        <f t="shared" si="30"/>
        <v>0.14078717342437636</v>
      </c>
      <c r="I133" s="146">
        <f t="shared" si="31"/>
        <v>0.14086357400688793</v>
      </c>
      <c r="J133" s="146">
        <f t="shared" si="32"/>
        <v>7.818654395529484E-2</v>
      </c>
      <c r="K133" s="146">
        <f t="shared" si="33"/>
        <v>0.55535275020840336</v>
      </c>
      <c r="L133" s="146">
        <f t="shared" si="34"/>
        <v>0.74354461757891821</v>
      </c>
    </row>
    <row r="134" spans="1:12">
      <c r="A134" s="163">
        <f t="shared" si="35"/>
        <v>0.13472222222222199</v>
      </c>
      <c r="B134" s="146">
        <f t="shared" si="26"/>
        <v>26.87320071166474</v>
      </c>
      <c r="C134" s="146">
        <f t="shared" si="27"/>
        <v>26.863374704438346</v>
      </c>
      <c r="D134" s="164">
        <f t="shared" si="28"/>
        <v>27.078249523367013</v>
      </c>
      <c r="E134" s="146">
        <f t="shared" si="29"/>
        <v>5.4289750838808182</v>
      </c>
      <c r="F134" s="146">
        <f t="shared" si="24"/>
        <v>5.1915270200239014</v>
      </c>
      <c r="G134" s="146">
        <f t="shared" si="25"/>
        <v>5.2860088236875526</v>
      </c>
      <c r="H134" s="146">
        <f t="shared" si="30"/>
        <v>0.13726749408876693</v>
      </c>
      <c r="I134" s="146">
        <f t="shared" si="31"/>
        <v>0.13734198465671699</v>
      </c>
      <c r="J134" s="146">
        <f t="shared" si="32"/>
        <v>7.5655066446235042E-2</v>
      </c>
      <c r="K134" s="146">
        <f t="shared" si="33"/>
        <v>0.55115063437605327</v>
      </c>
      <c r="L134" s="146">
        <f t="shared" si="34"/>
        <v>0.74246949714020205</v>
      </c>
    </row>
    <row r="135" spans="1:12">
      <c r="A135" s="163">
        <f t="shared" si="35"/>
        <v>0.13611111111111088</v>
      </c>
      <c r="B135" s="146">
        <f t="shared" si="26"/>
        <v>26.694134822773297</v>
      </c>
      <c r="C135" s="146">
        <f t="shared" si="27"/>
        <v>26.691790336827388</v>
      </c>
      <c r="D135" s="164">
        <f t="shared" si="28"/>
        <v>26.903486919949671</v>
      </c>
      <c r="E135" s="146">
        <f t="shared" si="29"/>
        <v>5.282443722297586</v>
      </c>
      <c r="F135" s="146">
        <f t="shared" si="24"/>
        <v>5.0617388445232567</v>
      </c>
      <c r="G135" s="146">
        <f t="shared" si="25"/>
        <v>5.1554968008115942</v>
      </c>
      <c r="H135" s="146">
        <f t="shared" si="30"/>
        <v>0.13383580673654777</v>
      </c>
      <c r="I135" s="146">
        <f t="shared" si="31"/>
        <v>0.13390843504029781</v>
      </c>
      <c r="J135" s="146">
        <f t="shared" si="32"/>
        <v>7.3205551613291772E-2</v>
      </c>
      <c r="K135" s="146">
        <f t="shared" si="33"/>
        <v>0.54698031415012094</v>
      </c>
      <c r="L135" s="146">
        <f t="shared" si="34"/>
        <v>0.74142092151969807</v>
      </c>
    </row>
    <row r="136" spans="1:12">
      <c r="A136" s="163">
        <f t="shared" si="35"/>
        <v>0.13749999999999976</v>
      </c>
      <c r="B136" s="146">
        <f t="shared" si="26"/>
        <v>26.51989326166726</v>
      </c>
      <c r="C136" s="146">
        <f t="shared" si="27"/>
        <v>26.524495578406704</v>
      </c>
      <c r="D136" s="164">
        <f t="shared" si="28"/>
        <v>26.733039220584857</v>
      </c>
      <c r="E136" s="146">
        <f t="shared" si="29"/>
        <v>5.1401260526280801</v>
      </c>
      <c r="F136" s="146">
        <f t="shared" si="24"/>
        <v>4.9351953734101937</v>
      </c>
      <c r="G136" s="146">
        <f t="shared" si="25"/>
        <v>5.0282071312620218</v>
      </c>
      <c r="H136" s="146">
        <f t="shared" si="30"/>
        <v>0.13048991156813408</v>
      </c>
      <c r="I136" s="146">
        <f t="shared" si="31"/>
        <v>0.13056072416429085</v>
      </c>
      <c r="J136" s="146">
        <f t="shared" si="32"/>
        <v>7.0835345717590273E-2</v>
      </c>
      <c r="K136" s="146">
        <f t="shared" si="33"/>
        <v>0.54284154894690273</v>
      </c>
      <c r="L136" s="146">
        <f t="shared" si="34"/>
        <v>0.74039823532350912</v>
      </c>
    </row>
    <row r="137" spans="1:12">
      <c r="A137" s="163">
        <f t="shared" si="35"/>
        <v>0.13888888888888865</v>
      </c>
      <c r="B137" s="146">
        <f t="shared" si="26"/>
        <v>26.350337759203871</v>
      </c>
      <c r="C137" s="146">
        <f t="shared" si="27"/>
        <v>26.361383188946537</v>
      </c>
      <c r="D137" s="164">
        <f t="shared" si="28"/>
        <v>26.566799889911934</v>
      </c>
      <c r="E137" s="146">
        <f t="shared" si="29"/>
        <v>5.001887322669976</v>
      </c>
      <c r="F137" s="146">
        <f t="shared" si="24"/>
        <v>4.811815489074931</v>
      </c>
      <c r="G137" s="146">
        <f t="shared" si="25"/>
        <v>4.904060254851224</v>
      </c>
      <c r="H137" s="146">
        <f t="shared" si="30"/>
        <v>0.12722766377893074</v>
      </c>
      <c r="I137" s="146">
        <f t="shared" si="31"/>
        <v>0.12729670606018337</v>
      </c>
      <c r="J137" s="146">
        <f t="shared" si="32"/>
        <v>6.8541880941437941E-2</v>
      </c>
      <c r="K137" s="146">
        <f t="shared" si="33"/>
        <v>0.53873410000308963</v>
      </c>
      <c r="L137" s="146">
        <f t="shared" si="34"/>
        <v>0.73940079933947156</v>
      </c>
    </row>
    <row r="138" spans="1:12">
      <c r="A138" s="163">
        <f t="shared" si="35"/>
        <v>0.14027777777777753</v>
      </c>
      <c r="B138" s="146">
        <f t="shared" si="26"/>
        <v>26.185334443931307</v>
      </c>
      <c r="C138" s="146">
        <f t="shared" si="27"/>
        <v>26.202348609222874</v>
      </c>
      <c r="D138" s="164">
        <f t="shared" si="28"/>
        <v>26.404665022937671</v>
      </c>
      <c r="E138" s="146">
        <f t="shared" si="29"/>
        <v>4.86759780054064</v>
      </c>
      <c r="F138" s="146">
        <f t="shared" si="24"/>
        <v>4.6915201018480577</v>
      </c>
      <c r="G138" s="146">
        <f t="shared" si="25"/>
        <v>4.7829785757407599</v>
      </c>
      <c r="H138" s="146">
        <f t="shared" si="30"/>
        <v>0.12404697218445747</v>
      </c>
      <c r="I138" s="146">
        <f t="shared" si="31"/>
        <v>0.12411428840867879</v>
      </c>
      <c r="J138" s="146">
        <f t="shared" si="32"/>
        <v>6.6322672606419136E-2</v>
      </c>
      <c r="K138" s="146">
        <f t="shared" si="33"/>
        <v>0.5346577303619916</v>
      </c>
      <c r="L138" s="146">
        <f t="shared" si="34"/>
        <v>0.73842799013762606</v>
      </c>
    </row>
    <row r="139" spans="1:12">
      <c r="A139" s="163">
        <f t="shared" si="35"/>
        <v>0.14166666666666641</v>
      </c>
      <c r="B139" s="146">
        <f t="shared" si="26"/>
        <v>26.024753679492495</v>
      </c>
      <c r="C139" s="146">
        <f t="shared" si="27"/>
        <v>26.047289893992303</v>
      </c>
      <c r="D139" s="164">
        <f t="shared" si="28"/>
        <v>26.246533280092279</v>
      </c>
      <c r="E139" s="146">
        <f t="shared" si="29"/>
        <v>4.7371325509449598</v>
      </c>
      <c r="F139" s="146">
        <f t="shared" si="24"/>
        <v>4.5742320993018222</v>
      </c>
      <c r="G139" s="146">
        <f t="shared" si="25"/>
        <v>4.6648864139390476</v>
      </c>
      <c r="H139" s="146">
        <f t="shared" si="30"/>
        <v>0.12094579787984606</v>
      </c>
      <c r="I139" s="146">
        <f t="shared" si="31"/>
        <v>0.12101143119846092</v>
      </c>
      <c r="J139" s="146">
        <f t="shared" si="32"/>
        <v>6.4175316481561134E-2</v>
      </c>
      <c r="K139" s="146">
        <f t="shared" si="33"/>
        <v>0.53061220485986849</v>
      </c>
      <c r="L139" s="146">
        <f t="shared" si="34"/>
        <v>0.73747919968055364</v>
      </c>
    </row>
    <row r="140" spans="1:12">
      <c r="A140" s="163">
        <f t="shared" si="35"/>
        <v>0.1430555555555553</v>
      </c>
      <c r="B140" s="146">
        <f t="shared" si="26"/>
        <v>25.868469909211591</v>
      </c>
      <c r="C140" s="146">
        <f t="shared" si="27"/>
        <v>25.896107646642495</v>
      </c>
      <c r="D140" s="164">
        <f t="shared" si="28"/>
        <v>26.092305823888857</v>
      </c>
      <c r="E140" s="146">
        <f t="shared" si="29"/>
        <v>4.6103712232866716</v>
      </c>
      <c r="F140" s="146">
        <f t="shared" si="24"/>
        <v>4.4598762968193526</v>
      </c>
      <c r="G140" s="146">
        <f t="shared" si="25"/>
        <v>4.5497099580009568</v>
      </c>
      <c r="H140" s="146">
        <f t="shared" si="30"/>
        <v>0.1179221529328499</v>
      </c>
      <c r="I140" s="146">
        <f t="shared" si="31"/>
        <v>0.1179861454185014</v>
      </c>
      <c r="J140" s="146">
        <f t="shared" si="32"/>
        <v>6.2097486178654328E-2</v>
      </c>
      <c r="K140" s="146">
        <f t="shared" si="33"/>
        <v>0.52659729011236245</v>
      </c>
      <c r="L140" s="146">
        <f t="shared" si="34"/>
        <v>0.73655383494333315</v>
      </c>
    </row>
    <row r="141" spans="1:12">
      <c r="A141" s="163">
        <f t="shared" si="35"/>
        <v>0.14444444444444418</v>
      </c>
      <c r="B141" s="146">
        <f t="shared" si="26"/>
        <v>25.716361507486166</v>
      </c>
      <c r="C141" s="146">
        <f t="shared" si="27"/>
        <v>25.748704955476434</v>
      </c>
      <c r="D141" s="164">
        <f t="shared" si="28"/>
        <v>25.941886257146738</v>
      </c>
      <c r="E141" s="146">
        <f t="shared" si="29"/>
        <v>4.4871978509000261</v>
      </c>
      <c r="F141" s="146">
        <f t="shared" si="24"/>
        <v>4.3483793893987954</v>
      </c>
      <c r="G141" s="146">
        <f t="shared" si="25"/>
        <v>4.4373772188925198</v>
      </c>
      <c r="H141" s="146">
        <f t="shared" si="30"/>
        <v>0.11497409910952867</v>
      </c>
      <c r="I141" s="146">
        <f t="shared" si="31"/>
        <v>0.11503649178303693</v>
      </c>
      <c r="J141" s="146">
        <f t="shared" si="32"/>
        <v>6.008693063190583E-2</v>
      </c>
      <c r="K141" s="146">
        <f t="shared" si="33"/>
        <v>0.5226127545010355</v>
      </c>
      <c r="L141" s="146">
        <f t="shared" si="34"/>
        <v>0.73565131754288038</v>
      </c>
    </row>
    <row r="142" spans="1:12">
      <c r="A142" s="163">
        <f t="shared" si="35"/>
        <v>0.14583333333333307</v>
      </c>
      <c r="B142" s="146">
        <f t="shared" si="26"/>
        <v>25.5683106376311</v>
      </c>
      <c r="C142" s="146">
        <f t="shared" si="27"/>
        <v>25.604987331589523</v>
      </c>
      <c r="D142" s="164">
        <f t="shared" si="28"/>
        <v>25.795180562740146</v>
      </c>
      <c r="E142" s="146">
        <f t="shared" si="29"/>
        <v>4.3675006607244402</v>
      </c>
      <c r="F142" s="146">
        <f t="shared" si="24"/>
        <v>4.2396699046638648</v>
      </c>
      <c r="G142" s="146">
        <f t="shared" si="25"/>
        <v>4.3278179849944536</v>
      </c>
      <c r="H142" s="146">
        <f t="shared" si="30"/>
        <v>0.11209974663179047</v>
      </c>
      <c r="I142" s="146">
        <f t="shared" si="31"/>
        <v>0.11216057948846204</v>
      </c>
      <c r="J142" s="146">
        <f t="shared" si="32"/>
        <v>5.814147165919465E-2</v>
      </c>
      <c r="K142" s="146">
        <f t="shared" si="33"/>
        <v>0.51865836816000666</v>
      </c>
      <c r="L142" s="146">
        <f t="shared" si="34"/>
        <v>0.73477108337644093</v>
      </c>
    </row>
    <row r="143" spans="1:12">
      <c r="A143" s="163">
        <f t="shared" si="35"/>
        <v>0.14722222222222195</v>
      </c>
      <c r="B143" s="146">
        <f t="shared" si="26"/>
        <v>25.424203115841507</v>
      </c>
      <c r="C143" s="146">
        <f t="shared" si="27"/>
        <v>25.464862648299786</v>
      </c>
      <c r="D143" s="164">
        <f t="shared" si="28"/>
        <v>25.652097044834395</v>
      </c>
      <c r="E143" s="146">
        <f t="shared" si="29"/>
        <v>4.2511718927929891</v>
      </c>
      <c r="F143" s="146">
        <f t="shared" si="24"/>
        <v>4.1336781570472656</v>
      </c>
      <c r="G143" s="146">
        <f t="shared" si="25"/>
        <v>4.2209637782196552</v>
      </c>
      <c r="H143" s="146">
        <f t="shared" si="30"/>
        <v>0.10929725296599571</v>
      </c>
      <c r="I143" s="146">
        <f t="shared" si="31"/>
        <v>0.10935656500125042</v>
      </c>
      <c r="J143" s="146">
        <f t="shared" si="32"/>
        <v>5.6259001602287605E-2</v>
      </c>
      <c r="K143" s="146">
        <f t="shared" si="33"/>
        <v>0.51473390296269173</v>
      </c>
      <c r="L143" s="146">
        <f t="shared" si="34"/>
        <v>0.73391258226900635</v>
      </c>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dimension ref="A1:O90"/>
  <sheetViews>
    <sheetView workbookViewId="0">
      <selection activeCell="J19" sqref="J19"/>
    </sheetView>
  </sheetViews>
  <sheetFormatPr defaultRowHeight="15"/>
  <sheetData>
    <row r="1" spans="1:15">
      <c r="C1" t="s">
        <v>321</v>
      </c>
      <c r="D1" t="s">
        <v>321</v>
      </c>
      <c r="E1" t="s">
        <v>321</v>
      </c>
      <c r="F1" t="s">
        <v>321</v>
      </c>
      <c r="G1" s="146">
        <v>0.38</v>
      </c>
      <c r="H1" s="146" t="s">
        <v>344</v>
      </c>
    </row>
    <row r="2" spans="1:15">
      <c r="A2" s="146" t="s">
        <v>324</v>
      </c>
      <c r="C2">
        <v>75</v>
      </c>
      <c r="D2">
        <v>75</v>
      </c>
      <c r="E2">
        <v>75</v>
      </c>
      <c r="F2">
        <v>75</v>
      </c>
      <c r="G2">
        <v>75</v>
      </c>
      <c r="H2">
        <v>75</v>
      </c>
    </row>
    <row r="3" spans="1:15">
      <c r="A3" s="146" t="s">
        <v>325</v>
      </c>
      <c r="C3">
        <v>65.877414827303852</v>
      </c>
      <c r="D3">
        <v>65.877414827303852</v>
      </c>
      <c r="E3">
        <v>65.877414827303852</v>
      </c>
      <c r="F3">
        <v>66.842855321433206</v>
      </c>
      <c r="G3">
        <v>65.877414827303852</v>
      </c>
      <c r="H3">
        <v>65.332730191364163</v>
      </c>
      <c r="O3">
        <f>(C2-C3)*C7*4200/3600</f>
        <v>12091.844001860527</v>
      </c>
    </row>
    <row r="4" spans="1:15">
      <c r="A4" s="146" t="s">
        <v>326</v>
      </c>
      <c r="C4">
        <v>26.453352612029732</v>
      </c>
      <c r="D4">
        <v>26.453352612029732</v>
      </c>
      <c r="E4">
        <v>42.906705224059465</v>
      </c>
      <c r="F4">
        <v>80.08252584953479</v>
      </c>
      <c r="G4">
        <v>26.453352612029732</v>
      </c>
      <c r="H4">
        <v>24.344854367170392</v>
      </c>
    </row>
    <row r="5" spans="1:15">
      <c r="A5" s="146" t="s">
        <v>327</v>
      </c>
      <c r="C5">
        <v>9997.5517076159886</v>
      </c>
      <c r="D5">
        <v>9997.5517076159886</v>
      </c>
      <c r="E5">
        <v>9997.5517076159886</v>
      </c>
      <c r="F5">
        <v>9999.9122409142728</v>
      </c>
      <c r="G5">
        <v>9997.5517076159886</v>
      </c>
      <c r="H5">
        <v>9997.8572680053676</v>
      </c>
    </row>
    <row r="6" spans="1:15">
      <c r="A6" s="146" t="s">
        <v>328</v>
      </c>
      <c r="C6">
        <v>12091.844001860527</v>
      </c>
      <c r="D6">
        <v>12091.844001860527</v>
      </c>
      <c r="E6">
        <v>12091.844001860527</v>
      </c>
      <c r="F6">
        <v>20571.852535001988</v>
      </c>
      <c r="G6">
        <v>12091.844001860527</v>
      </c>
      <c r="H6">
        <v>12074.989960767023</v>
      </c>
    </row>
    <row r="7" spans="1:15">
      <c r="A7" s="146" t="s">
        <v>329</v>
      </c>
      <c r="C7">
        <v>1136.1294544994946</v>
      </c>
      <c r="D7">
        <v>1136.1294544994946</v>
      </c>
      <c r="E7">
        <v>1136.1294544994946</v>
      </c>
      <c r="F7">
        <v>2161.6652828169822</v>
      </c>
      <c r="G7">
        <v>1136.1294544994946</v>
      </c>
      <c r="H7">
        <v>1070.6219646106749</v>
      </c>
    </row>
    <row r="8" spans="1:15">
      <c r="C8" t="s">
        <v>244</v>
      </c>
      <c r="D8" t="s">
        <v>244</v>
      </c>
      <c r="E8" t="s">
        <v>244</v>
      </c>
      <c r="F8" t="s">
        <v>244</v>
      </c>
      <c r="G8" t="s">
        <v>244</v>
      </c>
      <c r="H8" t="s">
        <v>244</v>
      </c>
    </row>
    <row r="9" spans="1:15">
      <c r="B9">
        <v>1</v>
      </c>
      <c r="C9">
        <v>0.56643544820768954</v>
      </c>
      <c r="D9">
        <v>0.56643544820768954</v>
      </c>
      <c r="E9">
        <v>0.56643544820768954</v>
      </c>
      <c r="F9">
        <v>2.4408198651282937</v>
      </c>
      <c r="G9">
        <v>0.56643544820768954</v>
      </c>
      <c r="H9">
        <v>0.48481463452306267</v>
      </c>
    </row>
    <row r="10" spans="1:15">
      <c r="B10">
        <v>2</v>
      </c>
      <c r="C10">
        <v>0.44151698783537063</v>
      </c>
      <c r="D10">
        <v>0.44151698783537063</v>
      </c>
      <c r="E10">
        <v>0.43893252013668671</v>
      </c>
      <c r="F10">
        <v>0.92244348057721726</v>
      </c>
      <c r="G10">
        <v>0.44151698783537063</v>
      </c>
      <c r="H10">
        <v>0.40076194736268145</v>
      </c>
    </row>
    <row r="11" spans="1:15">
      <c r="B11" s="146">
        <v>3</v>
      </c>
      <c r="C11">
        <v>0.38634458679687605</v>
      </c>
      <c r="D11">
        <v>0.38634458679687605</v>
      </c>
      <c r="E11">
        <v>0.37808153732493022</v>
      </c>
      <c r="F11">
        <v>0.57580496463965813</v>
      </c>
      <c r="G11">
        <v>0.38634458679687605</v>
      </c>
      <c r="H11">
        <v>0.36137285749182552</v>
      </c>
    </row>
    <row r="12" spans="1:15">
      <c r="B12" s="146">
        <v>4</v>
      </c>
      <c r="C12">
        <v>0.34753164757695287</v>
      </c>
      <c r="D12">
        <v>0.34753164757695287</v>
      </c>
      <c r="E12">
        <v>0.33164940946262356</v>
      </c>
      <c r="F12">
        <v>0.4055623046496416</v>
      </c>
      <c r="G12">
        <v>0.34753164757695287</v>
      </c>
      <c r="H12">
        <v>0.33239131021835738</v>
      </c>
    </row>
    <row r="13" spans="1:15">
      <c r="B13" s="146">
        <v>5</v>
      </c>
      <c r="C13">
        <v>0.31494397688550463</v>
      </c>
      <c r="D13">
        <v>0.31494397688550463</v>
      </c>
      <c r="E13">
        <v>0.2912391717294841</v>
      </c>
      <c r="F13">
        <v>0.30423353596021685</v>
      </c>
      <c r="G13">
        <v>0.31494397688550463</v>
      </c>
      <c r="H13">
        <v>0.30691079289481032</v>
      </c>
    </row>
    <row r="14" spans="1:15">
      <c r="B14" s="146">
        <v>6</v>
      </c>
      <c r="C14">
        <v>0.28567830841382208</v>
      </c>
      <c r="D14">
        <v>0.28567830841382208</v>
      </c>
      <c r="E14">
        <v>0.25538420129938783</v>
      </c>
      <c r="F14">
        <v>0.23817323305127597</v>
      </c>
      <c r="G14">
        <v>0.28567830841382208</v>
      </c>
      <c r="H14">
        <v>0.2829508764001859</v>
      </c>
    </row>
    <row r="15" spans="1:15">
      <c r="B15" s="146">
        <v>7</v>
      </c>
      <c r="C15">
        <v>0.25893330528012498</v>
      </c>
      <c r="D15">
        <v>0.25893330528012498</v>
      </c>
      <c r="E15">
        <v>0.22397796636922596</v>
      </c>
      <c r="F15">
        <v>0.19248852789522919</v>
      </c>
      <c r="G15">
        <v>0.25893330528012498</v>
      </c>
      <c r="H15">
        <v>0.26009222815949712</v>
      </c>
    </row>
    <row r="16" spans="1:15">
      <c r="B16" s="146">
        <v>8</v>
      </c>
      <c r="C16">
        <v>0.23456188080522192</v>
      </c>
      <c r="D16">
        <v>0.23456188080522192</v>
      </c>
      <c r="E16">
        <v>0.19690710274790771</v>
      </c>
      <c r="F16">
        <v>0.15947828985578741</v>
      </c>
      <c r="G16">
        <v>0.23456188080522192</v>
      </c>
      <c r="H16">
        <v>0.23845011109634123</v>
      </c>
    </row>
    <row r="17" spans="2:8">
      <c r="B17" s="146">
        <v>9</v>
      </c>
      <c r="C17">
        <v>0.21255247065025593</v>
      </c>
      <c r="D17">
        <v>0.21255247065025593</v>
      </c>
      <c r="E17">
        <v>0.17383042568986989</v>
      </c>
      <c r="F17">
        <v>0.13478563806149496</v>
      </c>
      <c r="G17">
        <v>0.21255247065025593</v>
      </c>
      <c r="H17">
        <v>0.21825342196838404</v>
      </c>
    </row>
    <row r="18" spans="2:8">
      <c r="B18" s="146">
        <v>10</v>
      </c>
      <c r="C18">
        <v>0.1928548853560966</v>
      </c>
      <c r="D18">
        <v>0.1928548853560966</v>
      </c>
      <c r="E18">
        <v>0.15426240659372611</v>
      </c>
      <c r="F18">
        <v>0.11578617692337956</v>
      </c>
      <c r="G18">
        <v>0.1928548853560966</v>
      </c>
      <c r="H18">
        <v>0.19967454377297841</v>
      </c>
    </row>
    <row r="19" spans="2:8">
      <c r="C19" t="s">
        <v>2</v>
      </c>
      <c r="D19" t="s">
        <v>2</v>
      </c>
      <c r="E19" t="s">
        <v>2</v>
      </c>
      <c r="F19" t="s">
        <v>2</v>
      </c>
      <c r="G19" t="s">
        <v>2</v>
      </c>
      <c r="H19" t="s">
        <v>2</v>
      </c>
    </row>
    <row r="20" spans="2:8">
      <c r="B20" s="146">
        <v>1</v>
      </c>
      <c r="C20">
        <v>175.64417620090026</v>
      </c>
      <c r="D20">
        <v>175.64417620090026</v>
      </c>
      <c r="E20">
        <v>175.64417620090026</v>
      </c>
      <c r="F20">
        <v>756.8661103781385</v>
      </c>
      <c r="G20">
        <v>175.64417620090026</v>
      </c>
      <c r="H20">
        <v>150.33463629508046</v>
      </c>
    </row>
    <row r="21" spans="2:8">
      <c r="B21" s="146">
        <v>2</v>
      </c>
      <c r="C21">
        <v>137.72434047410343</v>
      </c>
      <c r="D21">
        <v>137.72434047410343</v>
      </c>
      <c r="E21">
        <v>137.72434047410343</v>
      </c>
      <c r="F21">
        <v>309.47846193904883</v>
      </c>
      <c r="G21">
        <v>137.72434047410343</v>
      </c>
      <c r="H21">
        <v>124.82924250734145</v>
      </c>
    </row>
    <row r="22" spans="2:8">
      <c r="B22" s="146">
        <v>3</v>
      </c>
      <c r="C22">
        <v>122.53832403837255</v>
      </c>
      <c r="D22">
        <v>122.53832403837255</v>
      </c>
      <c r="E22">
        <v>122.53832403837255</v>
      </c>
      <c r="F22">
        <v>217.8759289414613</v>
      </c>
      <c r="G22">
        <v>122.53832403837255</v>
      </c>
      <c r="H22">
        <v>114.05947943387483</v>
      </c>
    </row>
    <row r="23" spans="2:8">
      <c r="B23" s="146">
        <v>4</v>
      </c>
      <c r="C23">
        <v>113.47270727821925</v>
      </c>
      <c r="D23">
        <v>113.47270727821925</v>
      </c>
      <c r="E23">
        <v>113.47270727821925</v>
      </c>
      <c r="F23">
        <v>174.96554157870131</v>
      </c>
      <c r="G23">
        <v>113.47270727821925</v>
      </c>
      <c r="H23">
        <v>107.45624650116514</v>
      </c>
    </row>
    <row r="24" spans="2:8">
      <c r="B24" s="146">
        <v>5</v>
      </c>
      <c r="C24">
        <v>107.1577176271217</v>
      </c>
      <c r="D24">
        <v>107.1577176271217</v>
      </c>
      <c r="E24">
        <v>107.1577176271217</v>
      </c>
      <c r="F24">
        <v>149.1366918950005</v>
      </c>
      <c r="G24">
        <v>107.1577176271217</v>
      </c>
      <c r="H24">
        <v>102.77288894381634</v>
      </c>
    </row>
    <row r="25" spans="2:8">
      <c r="B25" s="146">
        <v>6</v>
      </c>
      <c r="C25">
        <v>102.37900032958747</v>
      </c>
      <c r="D25">
        <v>102.37900032958747</v>
      </c>
      <c r="E25">
        <v>102.37900032958747</v>
      </c>
      <c r="F25">
        <v>131.53135903862125</v>
      </c>
      <c r="G25">
        <v>102.37900032958747</v>
      </c>
      <c r="H25">
        <v>99.180231393978318</v>
      </c>
    </row>
    <row r="26" spans="2:8">
      <c r="B26" s="146">
        <v>7</v>
      </c>
      <c r="C26">
        <v>98.570515586162955</v>
      </c>
      <c r="D26">
        <v>98.570515586162955</v>
      </c>
      <c r="E26">
        <v>98.570515586162955</v>
      </c>
      <c r="F26">
        <v>118.59695444087725</v>
      </c>
      <c r="G26">
        <v>98.570515586162955</v>
      </c>
      <c r="H26">
        <v>96.285415238975915</v>
      </c>
    </row>
    <row r="27" spans="2:8">
      <c r="B27" s="146">
        <v>8</v>
      </c>
      <c r="C27">
        <v>95.425525150196677</v>
      </c>
      <c r="D27">
        <v>95.425525150196677</v>
      </c>
      <c r="E27">
        <v>95.425525150196677</v>
      </c>
      <c r="F27">
        <v>108.6039828941618</v>
      </c>
      <c r="G27">
        <v>95.425525150196677</v>
      </c>
      <c r="H27">
        <v>93.8728718556427</v>
      </c>
    </row>
    <row r="28" spans="2:8">
      <c r="B28" s="146">
        <v>9</v>
      </c>
      <c r="C28">
        <v>92.760339327842843</v>
      </c>
      <c r="D28">
        <v>92.760339327842843</v>
      </c>
      <c r="E28">
        <v>92.760339327842843</v>
      </c>
      <c r="F28">
        <v>100.59947287875292</v>
      </c>
      <c r="G28">
        <v>92.760339327842843</v>
      </c>
      <c r="H28">
        <v>91.812189298967567</v>
      </c>
    </row>
    <row r="29" spans="2:8">
      <c r="B29" s="146">
        <v>10</v>
      </c>
      <c r="C29">
        <v>90.456808486987413</v>
      </c>
      <c r="D29">
        <v>90.456808486987413</v>
      </c>
      <c r="E29">
        <v>90.456808486987413</v>
      </c>
      <c r="F29">
        <v>94.010778832218264</v>
      </c>
      <c r="G29">
        <v>90.456808486987413</v>
      </c>
      <c r="H29">
        <v>90.018763141832238</v>
      </c>
    </row>
    <row r="30" spans="2:8">
      <c r="C30" t="s">
        <v>323</v>
      </c>
      <c r="D30" t="s">
        <v>323</v>
      </c>
      <c r="E30" t="s">
        <v>323</v>
      </c>
      <c r="F30" t="s">
        <v>323</v>
      </c>
      <c r="G30" t="s">
        <v>323</v>
      </c>
      <c r="H30" t="s">
        <v>323</v>
      </c>
    </row>
    <row r="31" spans="2:8">
      <c r="B31" s="146">
        <v>1</v>
      </c>
      <c r="C31">
        <v>73.090538090612583</v>
      </c>
      <c r="D31">
        <v>73.090538090612583</v>
      </c>
      <c r="E31">
        <v>73.090538090612583</v>
      </c>
      <c r="F31">
        <v>71.724967164235608</v>
      </c>
      <c r="G31">
        <v>73.090538090612583</v>
      </c>
      <c r="H31">
        <v>72.863423677798949</v>
      </c>
    </row>
    <row r="32" spans="2:8">
      <c r="B32" s="146">
        <v>2</v>
      </c>
      <c r="C32">
        <v>73.630183010761087</v>
      </c>
      <c r="D32">
        <v>73.630183010761087</v>
      </c>
      <c r="E32">
        <v>73.630183010761087</v>
      </c>
      <c r="F32">
        <v>72.33552758179701</v>
      </c>
      <c r="G32">
        <v>73.630183010761087</v>
      </c>
      <c r="H32" s="146">
        <v>73.491758821912413</v>
      </c>
    </row>
    <row r="33" spans="2:8">
      <c r="B33" s="146">
        <v>3</v>
      </c>
      <c r="C33">
        <v>73.935051262959689</v>
      </c>
      <c r="D33">
        <v>73.935051262959689</v>
      </c>
      <c r="E33">
        <v>73.935051262959689</v>
      </c>
      <c r="F33">
        <v>72.77325700852964</v>
      </c>
      <c r="G33">
        <v>73.935051262959689</v>
      </c>
      <c r="H33" s="146">
        <v>73.838196257258346</v>
      </c>
    </row>
    <row r="34" spans="2:8">
      <c r="B34" s="146">
        <v>4</v>
      </c>
      <c r="C34">
        <v>74.155287811350036</v>
      </c>
      <c r="D34">
        <v>74.155287811350036</v>
      </c>
      <c r="E34">
        <v>74.155287811350036</v>
      </c>
      <c r="F34">
        <v>73.139503743324411</v>
      </c>
      <c r="G34">
        <v>74.155287811350036</v>
      </c>
      <c r="H34" s="146">
        <v>74.084465285249607</v>
      </c>
    </row>
    <row r="35" spans="2:8">
      <c r="B35" s="146">
        <v>5</v>
      </c>
      <c r="C35">
        <v>74.330674843572012</v>
      </c>
      <c r="D35">
        <v>74.330674843572012</v>
      </c>
      <c r="E35">
        <v>74.330674843572012</v>
      </c>
      <c r="F35">
        <v>73.463937487857635</v>
      </c>
      <c r="G35">
        <v>74.330674843572012</v>
      </c>
      <c r="H35" s="146">
        <v>74.278241225190413</v>
      </c>
    </row>
    <row r="36" spans="2:8">
      <c r="B36" s="146">
        <v>6</v>
      </c>
      <c r="C36">
        <v>74.477872251580891</v>
      </c>
      <c r="D36">
        <v>74.477872251580891</v>
      </c>
      <c r="E36">
        <v>74.477872251580891</v>
      </c>
      <c r="F36">
        <v>73.760000566994592</v>
      </c>
      <c r="G36">
        <v>74.477872251580891</v>
      </c>
      <c r="H36" s="146">
        <v>74.439321149029126</v>
      </c>
    </row>
    <row r="37" spans="2:8">
      <c r="B37" s="146">
        <v>7</v>
      </c>
      <c r="C37">
        <v>74.605534188801585</v>
      </c>
      <c r="D37">
        <v>74.605534188801585</v>
      </c>
      <c r="E37">
        <v>74.605534188801585</v>
      </c>
      <c r="F37">
        <v>74.035139603273279</v>
      </c>
      <c r="G37">
        <v>74.605534188801585</v>
      </c>
      <c r="H37" s="146">
        <v>74.577914630844134</v>
      </c>
    </row>
    <row r="38" spans="2:8">
      <c r="B38" s="146">
        <v>8</v>
      </c>
      <c r="C38">
        <v>74.718770557327403</v>
      </c>
      <c r="D38">
        <v>74.718770557327403</v>
      </c>
      <c r="E38">
        <v>74.718770557327403</v>
      </c>
      <c r="F38">
        <v>74.293996732551392</v>
      </c>
      <c r="G38">
        <v>74.718770557327403</v>
      </c>
      <c r="H38" s="146">
        <v>74.700012098474886</v>
      </c>
    </row>
    <row r="39" spans="2:8">
      <c r="B39" s="146">
        <v>9</v>
      </c>
      <c r="C39">
        <v>74.820868041475649</v>
      </c>
      <c r="D39">
        <v>74.820868041475649</v>
      </c>
      <c r="E39">
        <v>74.820868041475649</v>
      </c>
      <c r="F39">
        <v>74.539701136239898</v>
      </c>
      <c r="G39">
        <v>74.820868041475649</v>
      </c>
      <c r="H39" s="146">
        <v>74.809445179373441</v>
      </c>
    </row>
    <row r="40" spans="2:8">
      <c r="B40" s="146">
        <v>10</v>
      </c>
      <c r="C40">
        <v>74.91407447428422</v>
      </c>
      <c r="D40">
        <v>74.91407447428422</v>
      </c>
      <c r="E40">
        <v>74.91407447428422</v>
      </c>
      <c r="F40">
        <v>74.77448307315413</v>
      </c>
      <c r="G40">
        <v>74.91407447428422</v>
      </c>
      <c r="H40" s="146">
        <v>74.908821362054383</v>
      </c>
    </row>
    <row r="41" spans="2:8">
      <c r="B41">
        <v>11</v>
      </c>
      <c r="C41">
        <v>75</v>
      </c>
      <c r="D41">
        <v>75</v>
      </c>
      <c r="E41">
        <v>75</v>
      </c>
      <c r="F41">
        <v>75</v>
      </c>
      <c r="G41">
        <v>75</v>
      </c>
      <c r="H41">
        <v>75</v>
      </c>
    </row>
    <row r="43" spans="2:8">
      <c r="B43" s="146">
        <v>1</v>
      </c>
      <c r="C43">
        <v>68.215782510402249</v>
      </c>
      <c r="D43">
        <v>68.215782510402249</v>
      </c>
      <c r="E43">
        <v>68.215782510402249</v>
      </c>
      <c r="F43">
        <v>70.59249821236763</v>
      </c>
      <c r="G43">
        <v>68.215782510402249</v>
      </c>
      <c r="H43">
        <v>67.166333039980159</v>
      </c>
    </row>
    <row r="44" spans="2:8">
      <c r="B44" s="146">
        <v>2</v>
      </c>
      <c r="C44">
        <v>67.589388062022834</v>
      </c>
      <c r="D44">
        <v>67.589388062022834</v>
      </c>
      <c r="E44">
        <v>67.589388062022834</v>
      </c>
      <c r="F44">
        <v>69.875617405106539</v>
      </c>
      <c r="G44">
        <v>67.589388062022834</v>
      </c>
      <c r="H44" s="146">
        <v>66.619335497692148</v>
      </c>
    </row>
    <row r="45" spans="2:8">
      <c r="B45" s="146">
        <v>3</v>
      </c>
      <c r="C45">
        <v>67.214008721974352</v>
      </c>
      <c r="D45">
        <v>67.214008721974352</v>
      </c>
      <c r="E45">
        <v>67.214008721974352</v>
      </c>
      <c r="F45">
        <v>69.356274300682358</v>
      </c>
      <c r="G45">
        <v>67.214008721974352</v>
      </c>
      <c r="H45" s="146">
        <v>66.321058419924285</v>
      </c>
    </row>
    <row r="46" spans="2:8">
      <c r="B46" s="146">
        <v>4</v>
      </c>
      <c r="C46">
        <v>66.935435084810351</v>
      </c>
      <c r="D46">
        <v>66.935435084810351</v>
      </c>
      <c r="E46">
        <v>66.935435084810351</v>
      </c>
      <c r="F46">
        <v>68.923118046195313</v>
      </c>
      <c r="G46">
        <v>66.935435084810351</v>
      </c>
      <c r="H46" s="146">
        <v>66.109947440716638</v>
      </c>
    </row>
    <row r="47" spans="2:8">
      <c r="B47" s="146">
        <v>5</v>
      </c>
      <c r="C47">
        <v>66.710296914558654</v>
      </c>
      <c r="D47">
        <v>66.710296914558654</v>
      </c>
      <c r="E47">
        <v>66.710296914558654</v>
      </c>
      <c r="F47">
        <v>68.541892986935324</v>
      </c>
      <c r="G47">
        <v>66.710296914558654</v>
      </c>
      <c r="H47" s="146">
        <v>65.944291904231306</v>
      </c>
    </row>
    <row r="48" spans="2:8">
      <c r="B48" s="146">
        <v>6</v>
      </c>
      <c r="C48">
        <v>66.519657855449495</v>
      </c>
      <c r="D48">
        <v>66.519657855449495</v>
      </c>
      <c r="E48">
        <v>66.519657855449495</v>
      </c>
      <c r="F48">
        <v>68.196613184509275</v>
      </c>
      <c r="G48">
        <v>66.519657855449495</v>
      </c>
      <c r="H48" s="146">
        <v>65.806883898710566</v>
      </c>
    </row>
    <row r="49" spans="1:8">
      <c r="B49" s="146">
        <v>7</v>
      </c>
      <c r="C49">
        <v>66.353381270170857</v>
      </c>
      <c r="D49">
        <v>66.353381270170857</v>
      </c>
      <c r="E49">
        <v>66.353381270170857</v>
      </c>
      <c r="F49">
        <v>67.878240191554568</v>
      </c>
      <c r="G49">
        <v>66.353381270170857</v>
      </c>
      <c r="H49" s="146">
        <v>65.688877952326195</v>
      </c>
    </row>
    <row r="50" spans="1:8">
      <c r="B50" s="146">
        <v>8</v>
      </c>
      <c r="C50">
        <v>66.205345758661323</v>
      </c>
      <c r="D50">
        <v>66.205345758661323</v>
      </c>
      <c r="E50">
        <v>66.205345758661323</v>
      </c>
      <c r="F50">
        <v>67.581052824824724</v>
      </c>
      <c r="G50">
        <v>66.205345758661323</v>
      </c>
      <c r="H50" s="146">
        <v>65.585093409082816</v>
      </c>
    </row>
    <row r="51" spans="1:8">
      <c r="B51" s="146">
        <v>9</v>
      </c>
      <c r="C51">
        <v>66.071544899883719</v>
      </c>
      <c r="D51">
        <v>66.071544899883719</v>
      </c>
      <c r="E51">
        <v>66.071544899883719</v>
      </c>
      <c r="F51">
        <v>67.301147932046121</v>
      </c>
      <c r="G51">
        <v>66.071544899883719</v>
      </c>
      <c r="H51" s="146">
        <v>65.492220188269414</v>
      </c>
    </row>
    <row r="52" spans="1:8">
      <c r="B52" s="146">
        <v>10</v>
      </c>
      <c r="C52">
        <v>65.949200449209627</v>
      </c>
      <c r="D52">
        <v>65.949200449209627</v>
      </c>
      <c r="E52">
        <v>65.949200449209627</v>
      </c>
      <c r="F52">
        <v>67.035716233742789</v>
      </c>
      <c r="G52">
        <v>65.949200449209627</v>
      </c>
      <c r="H52" s="146">
        <v>65.408007286932289</v>
      </c>
    </row>
    <row r="53" spans="1:8">
      <c r="B53" s="146">
        <v>11</v>
      </c>
      <c r="C53">
        <v>65.877414827303852</v>
      </c>
      <c r="D53">
        <v>65.877414827303852</v>
      </c>
      <c r="E53">
        <v>65.877414827303852</v>
      </c>
      <c r="F53">
        <v>66.842855321433206</v>
      </c>
      <c r="G53">
        <v>65.877414827303852</v>
      </c>
      <c r="H53">
        <v>65.332730191364163</v>
      </c>
    </row>
    <row r="54" spans="1:8">
      <c r="A54" s="146" t="s">
        <v>330</v>
      </c>
    </row>
    <row r="55" spans="1:8">
      <c r="B55" s="146">
        <v>1</v>
      </c>
      <c r="C55">
        <v>68.215782510402249</v>
      </c>
      <c r="D55">
        <v>68.215782510402249</v>
      </c>
      <c r="E55">
        <v>68.215782510402249</v>
      </c>
      <c r="F55">
        <v>70.59249821236763</v>
      </c>
      <c r="G55">
        <v>68.215782510402249</v>
      </c>
      <c r="H55">
        <v>67.166333039980159</v>
      </c>
    </row>
    <row r="56" spans="1:8">
      <c r="B56" s="146">
        <v>2</v>
      </c>
      <c r="C56">
        <v>67.409271675170203</v>
      </c>
      <c r="D56">
        <v>67.409271675170203</v>
      </c>
      <c r="E56">
        <v>67.409271675170203</v>
      </c>
      <c r="F56">
        <v>69.565867549959705</v>
      </c>
      <c r="G56">
        <v>67.409271675170203</v>
      </c>
      <c r="H56">
        <v>66.627809920676512</v>
      </c>
    </row>
    <row r="57" spans="1:8">
      <c r="B57" s="146">
        <v>3</v>
      </c>
      <c r="C57">
        <v>66.941962070966497</v>
      </c>
      <c r="D57">
        <v>66.941962070966497</v>
      </c>
      <c r="E57">
        <v>66.941962070966497</v>
      </c>
      <c r="F57">
        <v>68.839202829695466</v>
      </c>
      <c r="G57">
        <v>66.941962070966497</v>
      </c>
      <c r="H57">
        <v>66.325180134694733</v>
      </c>
    </row>
    <row r="58" spans="1:8">
      <c r="B58" s="146">
        <v>4</v>
      </c>
      <c r="C58">
        <v>66.602892223093264</v>
      </c>
      <c r="D58">
        <v>66.602892223093264</v>
      </c>
      <c r="E58">
        <v>66.602892223093264</v>
      </c>
      <c r="F58">
        <v>68.240628160262588</v>
      </c>
      <c r="G58">
        <v>66.602892223093264</v>
      </c>
      <c r="H58">
        <v>66.109252108772694</v>
      </c>
    </row>
    <row r="59" spans="1:8">
      <c r="B59" s="146">
        <v>5</v>
      </c>
      <c r="C59">
        <v>66.332839039258175</v>
      </c>
      <c r="D59">
        <v>66.332839039258175</v>
      </c>
      <c r="E59">
        <v>66.332839039258175</v>
      </c>
      <c r="F59">
        <v>67.716630863314947</v>
      </c>
      <c r="G59">
        <v>66.332839039258175</v>
      </c>
      <c r="H59">
        <v>65.939261940926059</v>
      </c>
    </row>
    <row r="60" spans="1:8">
      <c r="B60" s="146">
        <v>6</v>
      </c>
      <c r="C60">
        <v>66.106484347707394</v>
      </c>
      <c r="D60">
        <v>66.106484347707394</v>
      </c>
      <c r="E60">
        <v>66.106484347707394</v>
      </c>
      <c r="F60">
        <v>67.243423137785584</v>
      </c>
      <c r="G60">
        <v>66.106484347707394</v>
      </c>
      <c r="H60">
        <v>65.798035783804494</v>
      </c>
    </row>
    <row r="61" spans="1:8">
      <c r="B61" s="146">
        <v>7</v>
      </c>
      <c r="C61">
        <v>65.910533056861851</v>
      </c>
      <c r="D61">
        <v>65.910533056861851</v>
      </c>
      <c r="E61">
        <v>65.910533056861851</v>
      </c>
      <c r="F61">
        <v>66.807852116377063</v>
      </c>
      <c r="G61">
        <v>65.910533056861851</v>
      </c>
      <c r="H61">
        <v>65.67664929564819</v>
      </c>
    </row>
    <row r="62" spans="1:8">
      <c r="B62" s="146">
        <v>8</v>
      </c>
      <c r="C62">
        <v>65.737082957606418</v>
      </c>
      <c r="D62">
        <v>65.737082957606418</v>
      </c>
      <c r="E62">
        <v>65.737082957606418</v>
      </c>
      <c r="F62">
        <v>66.401705287595263</v>
      </c>
      <c r="G62">
        <v>65.737082957606418</v>
      </c>
      <c r="H62">
        <v>65.569841754311383</v>
      </c>
    </row>
    <row r="63" spans="1:8">
      <c r="B63" s="146">
        <v>9</v>
      </c>
      <c r="C63">
        <v>65.581029210255437</v>
      </c>
      <c r="D63">
        <v>65.581029210255437</v>
      </c>
      <c r="E63">
        <v>65.581029210255437</v>
      </c>
      <c r="F63">
        <v>66.019434967572977</v>
      </c>
      <c r="G63">
        <v>65.581029210255437</v>
      </c>
      <c r="H63">
        <v>65.474237899650703</v>
      </c>
    </row>
    <row r="64" spans="1:8">
      <c r="B64" s="146">
        <v>10</v>
      </c>
      <c r="C64">
        <v>65.438870057034819</v>
      </c>
      <c r="D64">
        <v>65.438870057034819</v>
      </c>
      <c r="E64">
        <v>65.438870057034819</v>
      </c>
      <c r="F64">
        <v>65.657078705202295</v>
      </c>
      <c r="G64">
        <v>65.438870057034819</v>
      </c>
      <c r="H64">
        <v>65.387535902187693</v>
      </c>
    </row>
    <row r="65" spans="2:8">
      <c r="B65" s="146"/>
      <c r="C65" t="s">
        <v>15</v>
      </c>
      <c r="D65" t="s">
        <v>15</v>
      </c>
      <c r="E65" t="s">
        <v>15</v>
      </c>
      <c r="F65" t="s">
        <v>15</v>
      </c>
      <c r="G65" t="s">
        <v>15</v>
      </c>
      <c r="H65" t="s">
        <v>15</v>
      </c>
    </row>
    <row r="66" spans="2:8">
      <c r="B66" s="146">
        <v>1</v>
      </c>
      <c r="C66">
        <v>0.15538232147991884</v>
      </c>
      <c r="D66">
        <v>0.15538232147991884</v>
      </c>
      <c r="E66">
        <v>0.15538232147991884</v>
      </c>
      <c r="F66">
        <v>0.66955600705780116</v>
      </c>
      <c r="G66">
        <v>0.15538232147991884</v>
      </c>
      <c r="H66">
        <v>0.13299242418177676</v>
      </c>
    </row>
    <row r="67" spans="2:8">
      <c r="B67" s="146">
        <v>2</v>
      </c>
      <c r="C67">
        <v>0.27721914072452558</v>
      </c>
      <c r="D67">
        <v>0.27721914072452558</v>
      </c>
      <c r="E67">
        <v>0.27721914072452558</v>
      </c>
      <c r="F67">
        <v>0.94333383962950046</v>
      </c>
      <c r="G67">
        <v>0.27721914072452558</v>
      </c>
      <c r="H67">
        <v>0.24342169037723099</v>
      </c>
    </row>
    <row r="68" spans="2:8">
      <c r="B68" s="146">
        <v>3</v>
      </c>
      <c r="C68">
        <v>0.38562176283915095</v>
      </c>
      <c r="D68">
        <v>0.38562176283915095</v>
      </c>
      <c r="E68">
        <v>0.38562176283915095</v>
      </c>
      <c r="F68">
        <v>1.1360761688416918</v>
      </c>
      <c r="G68">
        <v>0.38562176283915095</v>
      </c>
      <c r="H68">
        <v>0.34432356531873387</v>
      </c>
    </row>
    <row r="69" spans="2:8">
      <c r="B69" s="146">
        <v>4</v>
      </c>
      <c r="C69">
        <v>0.48600455413269239</v>
      </c>
      <c r="D69">
        <v>0.48600455413269239</v>
      </c>
      <c r="E69">
        <v>0.48600455413269239</v>
      </c>
      <c r="F69">
        <v>1.2908581412220008</v>
      </c>
      <c r="G69">
        <v>0.48600455413269239</v>
      </c>
      <c r="H69">
        <v>0.43938393908126488</v>
      </c>
    </row>
    <row r="70" spans="2:8">
      <c r="B70" s="146">
        <v>5</v>
      </c>
      <c r="C70">
        <v>0.58080083653460468</v>
      </c>
      <c r="D70">
        <v>0.58080083653460468</v>
      </c>
      <c r="E70">
        <v>0.58080083653460468</v>
      </c>
      <c r="F70">
        <v>1.422790812749779</v>
      </c>
      <c r="G70">
        <v>0.58080083653460468</v>
      </c>
      <c r="H70">
        <v>0.53030121521698359</v>
      </c>
    </row>
    <row r="71" spans="2:8">
      <c r="B71" s="146">
        <v>6</v>
      </c>
      <c r="C71">
        <v>0.67136966202079318</v>
      </c>
      <c r="D71">
        <v>0.67136966202079318</v>
      </c>
      <c r="E71">
        <v>0.67136966202079318</v>
      </c>
      <c r="F71">
        <v>1.5391490567683752</v>
      </c>
      <c r="G71">
        <v>0.67136966202079318</v>
      </c>
      <c r="H71">
        <v>0.61804027342113987</v>
      </c>
    </row>
    <row r="72" spans="2:8">
      <c r="B72" s="146">
        <v>7</v>
      </c>
      <c r="C72">
        <v>0.75856933964478734</v>
      </c>
      <c r="D72">
        <v>0.75856933964478734</v>
      </c>
      <c r="E72">
        <v>0.75856933964478734</v>
      </c>
      <c r="F72">
        <v>1.6440649754174173</v>
      </c>
      <c r="G72">
        <v>0.75856933964478734</v>
      </c>
      <c r="H72">
        <v>0.70321845392271098</v>
      </c>
    </row>
    <row r="73" spans="2:8">
      <c r="B73" s="146">
        <v>8</v>
      </c>
      <c r="C73">
        <v>0.84298682473873332</v>
      </c>
      <c r="D73">
        <v>0.84298682473873332</v>
      </c>
      <c r="E73">
        <v>0.84298682473873332</v>
      </c>
      <c r="F73">
        <v>1.7401406856917996</v>
      </c>
      <c r="G73">
        <v>0.84298682473873332</v>
      </c>
      <c r="H73">
        <v>0.78626239576245149</v>
      </c>
    </row>
    <row r="74" spans="2:8">
      <c r="B74" s="146">
        <v>9</v>
      </c>
      <c r="C74">
        <v>0.92504657290561476</v>
      </c>
      <c r="D74">
        <v>0.92504657290561476</v>
      </c>
      <c r="E74">
        <v>0.92504657290561476</v>
      </c>
      <c r="F74">
        <v>1.8291352653793023</v>
      </c>
      <c r="G74">
        <v>0.92504657290561476</v>
      </c>
      <c r="H74">
        <v>0.86748337001843845</v>
      </c>
    </row>
    <row r="75" spans="2:8">
      <c r="B75" s="146">
        <v>10</v>
      </c>
      <c r="C75">
        <v>1.0050685195501543</v>
      </c>
      <c r="D75">
        <v>1.0050685195501543</v>
      </c>
      <c r="E75">
        <v>1.0050685195501543</v>
      </c>
      <c r="F75">
        <v>1.9123012056059638</v>
      </c>
      <c r="G75">
        <v>1.0050685195501543</v>
      </c>
      <c r="H75">
        <v>0.94711780308799998</v>
      </c>
    </row>
    <row r="76" spans="2:8">
      <c r="B76" s="146"/>
      <c r="C76" t="s">
        <v>1</v>
      </c>
      <c r="D76" t="s">
        <v>1</v>
      </c>
      <c r="E76" t="s">
        <v>1</v>
      </c>
      <c r="F76" t="s">
        <v>1</v>
      </c>
      <c r="G76" t="s">
        <v>1</v>
      </c>
      <c r="H76" t="s">
        <v>1</v>
      </c>
    </row>
    <row r="77" spans="2:8">
      <c r="B77" s="146">
        <v>1</v>
      </c>
      <c r="C77">
        <v>9.9999999999999982</v>
      </c>
      <c r="D77">
        <v>9.9999999999999982</v>
      </c>
      <c r="E77">
        <v>10</v>
      </c>
      <c r="F77">
        <v>9.9999999999999947</v>
      </c>
      <c r="G77">
        <v>9.9999999999999982</v>
      </c>
      <c r="H77">
        <v>10.000000000000002</v>
      </c>
    </row>
    <row r="78" spans="2:8">
      <c r="B78" s="146">
        <v>2</v>
      </c>
      <c r="C78">
        <v>10.119519826001401</v>
      </c>
      <c r="D78">
        <v>10.119519826001401</v>
      </c>
      <c r="E78">
        <v>10.239039652002804</v>
      </c>
      <c r="F78">
        <v>11.706165702198923</v>
      </c>
      <c r="G78">
        <v>10.119519826001401</v>
      </c>
      <c r="H78">
        <v>10.090043836805201</v>
      </c>
    </row>
    <row r="79" spans="2:8">
      <c r="B79" s="146">
        <v>3</v>
      </c>
      <c r="C79">
        <v>10.462309142091973</v>
      </c>
      <c r="D79">
        <v>10.462309142091973</v>
      </c>
      <c r="E79">
        <v>10.924618284183946</v>
      </c>
      <c r="F79">
        <v>14.890217198951348</v>
      </c>
      <c r="G79">
        <v>10.462309142091973</v>
      </c>
      <c r="H79">
        <v>10.360603412019207</v>
      </c>
    </row>
    <row r="80" spans="2:8">
      <c r="B80" s="146">
        <v>4</v>
      </c>
      <c r="C80">
        <v>11.08734225320735</v>
      </c>
      <c r="D80">
        <v>11.08734225320735</v>
      </c>
      <c r="E80">
        <v>12.1746845064147</v>
      </c>
      <c r="F80">
        <v>19.356339262244013</v>
      </c>
      <c r="G80">
        <v>11.08734225320735</v>
      </c>
      <c r="H80">
        <v>10.869194222289845</v>
      </c>
    </row>
    <row r="81" spans="2:8">
      <c r="B81" s="146">
        <v>5</v>
      </c>
      <c r="C81">
        <v>12.039643705305295</v>
      </c>
      <c r="D81">
        <v>12.039643705305295</v>
      </c>
      <c r="E81">
        <v>14.079287410610592</v>
      </c>
      <c r="F81">
        <v>24.991261573635615</v>
      </c>
      <c r="G81">
        <v>12.039643705305295</v>
      </c>
      <c r="H81">
        <v>11.661814965429247</v>
      </c>
    </row>
    <row r="82" spans="2:8">
      <c r="B82" s="146">
        <v>6</v>
      </c>
      <c r="C82">
        <v>13.356743233778181</v>
      </c>
      <c r="D82">
        <v>13.356743233778181</v>
      </c>
      <c r="E82">
        <v>16.713486467556361</v>
      </c>
      <c r="F82">
        <v>31.718018658503819</v>
      </c>
      <c r="G82">
        <v>13.356743233778181</v>
      </c>
      <c r="H82">
        <v>12.777958897288759</v>
      </c>
    </row>
    <row r="83" spans="2:8">
      <c r="B83" s="146">
        <v>7</v>
      </c>
      <c r="C83">
        <v>15.071329522218527</v>
      </c>
      <c r="D83">
        <v>15.071329522218527</v>
      </c>
      <c r="E83">
        <v>20.142659044437053</v>
      </c>
      <c r="F83">
        <v>39.479415121463475</v>
      </c>
      <c r="G83">
        <v>15.071329522218527</v>
      </c>
      <c r="H83">
        <v>14.252780743609128</v>
      </c>
    </row>
    <row r="84" spans="2:8">
      <c r="B84" s="146">
        <v>8</v>
      </c>
      <c r="C84">
        <v>17.212643977328597</v>
      </c>
      <c r="D84">
        <v>17.212643977328597</v>
      </c>
      <c r="E84">
        <v>24.425287954657193</v>
      </c>
      <c r="F84">
        <v>48.230493400633748</v>
      </c>
      <c r="G84">
        <v>17.212643977328597</v>
      </c>
      <c r="H84">
        <v>16.118272358219816</v>
      </c>
    </row>
    <row r="85" spans="2:8">
      <c r="B85" s="146">
        <v>9</v>
      </c>
      <c r="C85">
        <v>19.807318348542104</v>
      </c>
      <c r="D85">
        <v>19.807318348542104</v>
      </c>
      <c r="E85">
        <v>29.614636697084208</v>
      </c>
      <c r="F85">
        <v>57.934533160796363</v>
      </c>
      <c r="G85">
        <v>19.807318348542104</v>
      </c>
      <c r="H85">
        <v>18.403986364539382</v>
      </c>
    </row>
    <row r="86" spans="2:8">
      <c r="B86" s="146">
        <v>10</v>
      </c>
      <c r="C86">
        <v>22.87992367535719</v>
      </c>
      <c r="D86">
        <v>22.87992367535719</v>
      </c>
      <c r="E86">
        <v>35.759847350714381</v>
      </c>
      <c r="F86">
        <v>68.56069503745961</v>
      </c>
      <c r="G86">
        <v>22.87992367535719</v>
      </c>
      <c r="H86">
        <v>21.137519465982379</v>
      </c>
    </row>
    <row r="87" spans="2:8">
      <c r="B87" s="146"/>
      <c r="C87" t="s">
        <v>320</v>
      </c>
      <c r="D87" t="s">
        <v>320</v>
      </c>
      <c r="E87" t="s">
        <v>320</v>
      </c>
      <c r="F87" t="s">
        <v>320</v>
      </c>
      <c r="G87" t="s">
        <v>320</v>
      </c>
      <c r="H87" t="s">
        <v>320</v>
      </c>
    </row>
    <row r="89" spans="2:8">
      <c r="D89">
        <f>D86-D77</f>
        <v>12.879923675357192</v>
      </c>
      <c r="E89" s="146">
        <f>E86-E77</f>
        <v>25.759847350714381</v>
      </c>
    </row>
    <row r="90" spans="2:8">
      <c r="E90">
        <f>E89/D89</f>
        <v>1.9999999999999998</v>
      </c>
    </row>
  </sheetData>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dimension ref="A1:T21"/>
  <sheetViews>
    <sheetView workbookViewId="0">
      <selection activeCell="M2" sqref="M2"/>
    </sheetView>
  </sheetViews>
  <sheetFormatPr defaultRowHeight="15"/>
  <cols>
    <col min="1" max="7" width="9.140625" style="243"/>
    <col min="8" max="8" width="12" style="243" bestFit="1" customWidth="1"/>
    <col min="9" max="16384" width="9.140625" style="243"/>
  </cols>
  <sheetData>
    <row r="1" spans="1:20">
      <c r="E1" s="86" t="s">
        <v>936</v>
      </c>
      <c r="M1" s="1" t="s">
        <v>1027</v>
      </c>
      <c r="N1" s="1" t="s">
        <v>1025</v>
      </c>
      <c r="O1" s="1" t="s">
        <v>1026</v>
      </c>
    </row>
    <row r="2" spans="1:20">
      <c r="A2" s="243" t="s">
        <v>935</v>
      </c>
      <c r="I2" s="154">
        <v>68</v>
      </c>
      <c r="M2" s="1">
        <v>1.2</v>
      </c>
      <c r="N2" s="3">
        <v>3.39</v>
      </c>
      <c r="O2" s="1">
        <f>N4*N2*N2*M2/2</f>
        <v>6.8952600000000004</v>
      </c>
    </row>
    <row r="3" spans="1:20">
      <c r="E3" s="243" t="s">
        <v>934</v>
      </c>
      <c r="I3" s="154">
        <v>1.75</v>
      </c>
      <c r="M3" s="1"/>
      <c r="N3" s="1" t="s">
        <v>1277</v>
      </c>
      <c r="O3" s="1"/>
    </row>
    <row r="4" spans="1:20">
      <c r="B4" s="243">
        <v>0</v>
      </c>
      <c r="F4" s="243" t="s">
        <v>18</v>
      </c>
      <c r="I4" s="154">
        <v>1.25</v>
      </c>
      <c r="M4" s="1"/>
      <c r="N4" s="3">
        <v>1</v>
      </c>
      <c r="O4" s="1"/>
    </row>
    <row r="5" spans="1:20">
      <c r="B5" s="243">
        <v>20</v>
      </c>
      <c r="C5" s="243">
        <f>(1-(B$4+275)/(B5+275))*1.2*9.8</f>
        <v>0.79728813559322087</v>
      </c>
      <c r="F5" s="243" t="s">
        <v>4</v>
      </c>
      <c r="H5" s="243" t="s">
        <v>55</v>
      </c>
    </row>
    <row r="6" spans="1:20">
      <c r="E6" s="243" t="s">
        <v>278</v>
      </c>
      <c r="G6" s="243" t="s">
        <v>53</v>
      </c>
      <c r="H6" s="243" t="s">
        <v>15</v>
      </c>
      <c r="I6" s="243" t="s">
        <v>53</v>
      </c>
      <c r="J6" s="243" t="s">
        <v>66</v>
      </c>
      <c r="T6" s="1"/>
    </row>
    <row r="7" spans="1:20">
      <c r="E7" s="243">
        <v>6</v>
      </c>
      <c r="F7" s="243">
        <v>50</v>
      </c>
      <c r="G7" s="243">
        <v>0.39300000000000002</v>
      </c>
      <c r="H7" s="243">
        <f t="shared" ref="H7:H21" si="0">E7/3600/(F7*F7*3.14/4)*1000000</f>
        <v>0.84925690021231437</v>
      </c>
      <c r="I7" s="243">
        <f t="shared" ref="I7:I21" si="1">I$2*H7^I$3/F7^I$4</f>
        <v>0.38425082147534834</v>
      </c>
      <c r="J7" s="243">
        <f t="shared" ref="J7:J21" si="2">G7/I7</f>
        <v>1.0227694465064741</v>
      </c>
      <c r="T7" s="1"/>
    </row>
    <row r="8" spans="1:20">
      <c r="E8" s="243">
        <v>12</v>
      </c>
      <c r="F8" s="243">
        <v>50</v>
      </c>
      <c r="G8" s="243">
        <v>1.29</v>
      </c>
      <c r="H8" s="243">
        <f t="shared" si="0"/>
        <v>1.6985138004246287</v>
      </c>
      <c r="I8" s="243">
        <f t="shared" si="1"/>
        <v>1.2924605533476621</v>
      </c>
      <c r="J8" s="243">
        <f t="shared" si="2"/>
        <v>0.99809622557432109</v>
      </c>
      <c r="T8" s="1"/>
    </row>
    <row r="9" spans="1:20">
      <c r="A9" s="243">
        <v>40</v>
      </c>
      <c r="B9" s="243">
        <v>36</v>
      </c>
      <c r="E9" s="243">
        <v>24</v>
      </c>
      <c r="F9" s="243">
        <v>50</v>
      </c>
      <c r="G9" s="243">
        <v>4.42</v>
      </c>
      <c r="H9" s="243">
        <f t="shared" si="0"/>
        <v>3.3970276008492575</v>
      </c>
      <c r="I9" s="243">
        <f t="shared" si="1"/>
        <v>4.3473017846675246</v>
      </c>
      <c r="J9" s="243">
        <f t="shared" si="2"/>
        <v>1.01672260609762</v>
      </c>
      <c r="K9" s="243" t="s">
        <v>933</v>
      </c>
      <c r="T9" s="1"/>
    </row>
    <row r="10" spans="1:20">
      <c r="A10" s="243">
        <v>50</v>
      </c>
      <c r="B10" s="243">
        <v>46</v>
      </c>
      <c r="H10" s="243" t="e">
        <f t="shared" si="0"/>
        <v>#DIV/0!</v>
      </c>
      <c r="I10" s="243" t="e">
        <f t="shared" si="1"/>
        <v>#DIV/0!</v>
      </c>
      <c r="J10" s="243" t="e">
        <f t="shared" si="2"/>
        <v>#DIV/0!</v>
      </c>
      <c r="K10" s="243" t="s">
        <v>932</v>
      </c>
    </row>
    <row r="11" spans="1:20">
      <c r="A11" s="243">
        <v>70</v>
      </c>
      <c r="B11" s="243">
        <v>66</v>
      </c>
      <c r="E11" s="244">
        <v>6</v>
      </c>
      <c r="F11" s="244">
        <v>60</v>
      </c>
      <c r="G11" s="243">
        <v>9.5000000000000001E-2</v>
      </c>
      <c r="H11" s="244">
        <f t="shared" si="0"/>
        <v>0.58976173625855155</v>
      </c>
      <c r="I11" s="243">
        <f t="shared" si="1"/>
        <v>0.16162326875015354</v>
      </c>
      <c r="J11" s="243">
        <f t="shared" si="2"/>
        <v>0.58778665185182222</v>
      </c>
      <c r="K11" s="243" t="s">
        <v>931</v>
      </c>
    </row>
    <row r="12" spans="1:20">
      <c r="A12" s="243">
        <v>110</v>
      </c>
      <c r="B12" s="243">
        <v>105</v>
      </c>
      <c r="E12" s="243">
        <v>12</v>
      </c>
      <c r="F12" s="243">
        <v>60</v>
      </c>
      <c r="G12" s="243">
        <v>0.53900000000000003</v>
      </c>
      <c r="H12" s="243">
        <f t="shared" si="0"/>
        <v>1.1795234725171031</v>
      </c>
      <c r="I12" s="243">
        <f t="shared" si="1"/>
        <v>0.54363370925436727</v>
      </c>
      <c r="J12" s="243">
        <f t="shared" si="2"/>
        <v>0.9914764129311946</v>
      </c>
    </row>
    <row r="13" spans="1:20">
      <c r="E13" s="243">
        <v>24</v>
      </c>
      <c r="F13" s="243">
        <v>60</v>
      </c>
      <c r="G13" s="243">
        <v>1.8</v>
      </c>
      <c r="H13" s="243">
        <f t="shared" si="0"/>
        <v>2.3590469450342062</v>
      </c>
      <c r="I13" s="243">
        <f t="shared" si="1"/>
        <v>1.8285585492923098</v>
      </c>
      <c r="J13" s="243">
        <f t="shared" si="2"/>
        <v>0.98438193335216828</v>
      </c>
    </row>
    <row r="14" spans="1:20">
      <c r="H14" s="243" t="e">
        <f t="shared" si="0"/>
        <v>#DIV/0!</v>
      </c>
      <c r="I14" s="243" t="e">
        <f t="shared" si="1"/>
        <v>#DIV/0!</v>
      </c>
      <c r="J14" s="243" t="e">
        <f t="shared" si="2"/>
        <v>#DIV/0!</v>
      </c>
    </row>
    <row r="15" spans="1:20">
      <c r="E15" s="243">
        <v>6</v>
      </c>
      <c r="F15" s="243">
        <v>125</v>
      </c>
      <c r="G15" s="243">
        <v>5.0000000000000001E-3</v>
      </c>
      <c r="H15" s="243">
        <f t="shared" si="0"/>
        <v>0.13588110403397027</v>
      </c>
      <c r="I15" s="243">
        <f t="shared" si="1"/>
        <v>4.9476590418558149E-3</v>
      </c>
      <c r="J15" s="243">
        <f t="shared" si="2"/>
        <v>1.0105789339365132</v>
      </c>
    </row>
    <row r="16" spans="1:20">
      <c r="E16" s="244">
        <v>12</v>
      </c>
      <c r="F16" s="244">
        <v>125</v>
      </c>
      <c r="G16" s="244">
        <v>1.01E-2</v>
      </c>
      <c r="H16" s="244">
        <f t="shared" si="0"/>
        <v>0.27176220806794055</v>
      </c>
      <c r="I16" s="243">
        <f t="shared" si="1"/>
        <v>1.664187500877673E-2</v>
      </c>
      <c r="J16" s="243">
        <f t="shared" si="2"/>
        <v>0.60690276754712902</v>
      </c>
    </row>
    <row r="17" spans="5:10">
      <c r="E17" s="243">
        <v>24</v>
      </c>
      <c r="F17" s="243">
        <v>125</v>
      </c>
      <c r="G17" s="243">
        <v>5.4699999999999999E-2</v>
      </c>
      <c r="H17" s="243">
        <f t="shared" si="0"/>
        <v>0.54352441613588109</v>
      </c>
      <c r="I17" s="243">
        <f t="shared" si="1"/>
        <v>5.5976372151922936E-2</v>
      </c>
      <c r="J17" s="243">
        <f t="shared" si="2"/>
        <v>0.9771980193989922</v>
      </c>
    </row>
    <row r="18" spans="5:10">
      <c r="H18" s="243" t="e">
        <f t="shared" si="0"/>
        <v>#DIV/0!</v>
      </c>
      <c r="I18" s="243" t="e">
        <f t="shared" si="1"/>
        <v>#DIV/0!</v>
      </c>
      <c r="J18" s="243" t="e">
        <f t="shared" si="2"/>
        <v>#DIV/0!</v>
      </c>
    </row>
    <row r="19" spans="5:10">
      <c r="E19" s="243">
        <v>24</v>
      </c>
      <c r="F19" s="243">
        <v>180</v>
      </c>
      <c r="G19" s="243">
        <v>9.9000000000000008E-3</v>
      </c>
      <c r="H19" s="243">
        <f t="shared" si="0"/>
        <v>0.26211632722602296</v>
      </c>
      <c r="I19" s="243">
        <f t="shared" si="1"/>
        <v>9.9033678513815518E-3</v>
      </c>
      <c r="J19" s="243">
        <f t="shared" si="2"/>
        <v>0.99965992867960762</v>
      </c>
    </row>
    <row r="20" spans="5:10">
      <c r="H20" s="243" t="e">
        <f t="shared" si="0"/>
        <v>#DIV/0!</v>
      </c>
      <c r="I20" s="243" t="e">
        <f t="shared" si="1"/>
        <v>#DIV/0!</v>
      </c>
      <c r="J20" s="243" t="e">
        <f t="shared" si="2"/>
        <v>#DIV/0!</v>
      </c>
    </row>
    <row r="21" spans="5:10">
      <c r="E21" s="243">
        <v>24</v>
      </c>
      <c r="F21" s="243">
        <v>200</v>
      </c>
      <c r="G21" s="243">
        <v>6.0000000000000001E-3</v>
      </c>
      <c r="H21" s="243">
        <f t="shared" si="0"/>
        <v>0.21231422505307859</v>
      </c>
      <c r="I21" s="243">
        <f t="shared" si="1"/>
        <v>6.0039190855523186E-3</v>
      </c>
      <c r="J21" s="243">
        <f t="shared" si="2"/>
        <v>0.99934724544144016</v>
      </c>
    </row>
  </sheetData>
  <hyperlinks>
    <hyperlink ref="E1" r:id="rId1"/>
  </hyperlinks>
  <pageMargins left="0.7" right="0.7" top="0.78740157499999996" bottom="0.78740157499999996" header="0.3" footer="0.3"/>
  <drawing r:id="rId2"/>
</worksheet>
</file>

<file path=xl/worksheets/sheet2.xml><?xml version="1.0" encoding="utf-8"?>
<worksheet xmlns="http://schemas.openxmlformats.org/spreadsheetml/2006/main" xmlns:r="http://schemas.openxmlformats.org/officeDocument/2006/relationships">
  <dimension ref="A1:AA39"/>
  <sheetViews>
    <sheetView workbookViewId="0">
      <selection activeCell="A26" sqref="A26"/>
    </sheetView>
  </sheetViews>
  <sheetFormatPr defaultColWidth="6.140625" defaultRowHeight="15"/>
  <cols>
    <col min="6" max="7" width="6.140625" style="61"/>
    <col min="16" max="16" width="9" bestFit="1" customWidth="1"/>
    <col min="21" max="21" width="7.85546875" customWidth="1"/>
    <col min="22" max="22" width="10.42578125" customWidth="1"/>
    <col min="23" max="23" width="9.28515625" customWidth="1"/>
  </cols>
  <sheetData>
    <row r="1" spans="2:27" s="61" customFormat="1">
      <c r="M1" s="61" t="s">
        <v>197</v>
      </c>
      <c r="T1" s="61" t="s">
        <v>206</v>
      </c>
      <c r="V1" s="61" t="s">
        <v>207</v>
      </c>
      <c r="W1" s="61" t="s">
        <v>208</v>
      </c>
      <c r="Y1" s="61" t="s">
        <v>209</v>
      </c>
    </row>
    <row r="2" spans="2:27">
      <c r="E2" s="73">
        <v>2000</v>
      </c>
      <c r="F2" s="70"/>
      <c r="G2" s="70"/>
      <c r="L2" s="61"/>
      <c r="M2" s="61"/>
      <c r="N2" s="61">
        <v>1</v>
      </c>
      <c r="O2" s="61"/>
      <c r="P2" s="61">
        <v>2000</v>
      </c>
      <c r="Q2" s="61"/>
      <c r="R2" s="61"/>
      <c r="S2" s="61"/>
      <c r="T2" s="71">
        <f>SUM(P2:S2)</f>
        <v>2000</v>
      </c>
      <c r="U2" s="71"/>
      <c r="V2" s="71">
        <v>16</v>
      </c>
      <c r="W2" s="71">
        <v>1.5</v>
      </c>
    </row>
    <row r="3" spans="2:27">
      <c r="G3" s="70" t="s">
        <v>190</v>
      </c>
      <c r="L3" s="61"/>
      <c r="M3" s="61"/>
      <c r="N3" s="61">
        <v>2</v>
      </c>
      <c r="O3" s="61"/>
      <c r="P3" s="61">
        <v>800</v>
      </c>
      <c r="Q3" s="61"/>
      <c r="R3" s="61"/>
      <c r="S3" s="61"/>
      <c r="T3" s="71">
        <f t="shared" ref="T3:T11" si="0">SUM(P3:S3)</f>
        <v>800</v>
      </c>
      <c r="U3" s="71"/>
      <c r="V3" s="71">
        <v>16</v>
      </c>
      <c r="W3" s="71">
        <v>3</v>
      </c>
    </row>
    <row r="4" spans="2:27">
      <c r="G4" s="70" t="s">
        <v>186</v>
      </c>
      <c r="L4" s="61"/>
      <c r="M4" s="61"/>
      <c r="N4" s="61">
        <v>3</v>
      </c>
      <c r="O4" s="61"/>
      <c r="P4" s="61">
        <v>1500</v>
      </c>
      <c r="Q4" s="61">
        <v>1200</v>
      </c>
      <c r="R4" s="61">
        <v>500</v>
      </c>
      <c r="S4" s="61"/>
      <c r="T4" s="71">
        <f t="shared" si="0"/>
        <v>3200</v>
      </c>
      <c r="U4" s="71"/>
      <c r="V4" s="71">
        <v>20</v>
      </c>
      <c r="W4" s="71">
        <v>2</v>
      </c>
      <c r="Y4" s="61" t="s">
        <v>196</v>
      </c>
    </row>
    <row r="5" spans="2:27">
      <c r="G5" s="70"/>
      <c r="L5" s="61"/>
      <c r="M5" s="61"/>
      <c r="N5" s="61">
        <v>4</v>
      </c>
      <c r="O5" s="61"/>
      <c r="P5" s="61">
        <v>700</v>
      </c>
      <c r="Q5" s="61">
        <v>300</v>
      </c>
      <c r="R5" s="61">
        <v>500</v>
      </c>
      <c r="S5" s="61"/>
      <c r="T5" s="71">
        <f t="shared" si="0"/>
        <v>1500</v>
      </c>
      <c r="U5" s="71"/>
      <c r="V5" s="71">
        <v>25</v>
      </c>
      <c r="W5" s="71">
        <v>4</v>
      </c>
      <c r="Y5" s="61" t="s">
        <v>196</v>
      </c>
    </row>
    <row r="6" spans="2:27">
      <c r="B6" s="73">
        <v>1500</v>
      </c>
      <c r="C6" s="70"/>
      <c r="E6" s="73">
        <v>800</v>
      </c>
      <c r="F6" s="70"/>
      <c r="G6" s="70"/>
      <c r="L6" s="61"/>
      <c r="M6" s="61"/>
      <c r="N6" s="61">
        <v>5</v>
      </c>
      <c r="O6" s="61"/>
      <c r="P6" s="61">
        <v>1</v>
      </c>
      <c r="Q6" s="61"/>
      <c r="R6" s="61"/>
      <c r="S6" s="61"/>
      <c r="T6" s="71">
        <f t="shared" si="0"/>
        <v>1</v>
      </c>
      <c r="U6" s="71"/>
      <c r="V6" s="71"/>
      <c r="W6" s="71">
        <v>0</v>
      </c>
    </row>
    <row r="7" spans="2:27">
      <c r="C7" s="70"/>
      <c r="G7" s="70" t="s">
        <v>190</v>
      </c>
      <c r="L7" s="61"/>
      <c r="M7" s="61"/>
      <c r="N7" s="61">
        <v>6</v>
      </c>
      <c r="O7" s="61"/>
      <c r="P7" s="61">
        <v>1</v>
      </c>
      <c r="Q7" s="61"/>
      <c r="R7" s="61"/>
      <c r="S7" s="61"/>
      <c r="T7" s="71">
        <f t="shared" si="0"/>
        <v>1</v>
      </c>
      <c r="U7" s="71"/>
      <c r="V7" s="71"/>
      <c r="W7" s="71">
        <v>0</v>
      </c>
    </row>
    <row r="8" spans="2:27">
      <c r="C8" s="70" t="s">
        <v>199</v>
      </c>
      <c r="G8" s="70" t="s">
        <v>187</v>
      </c>
      <c r="L8" s="61"/>
      <c r="M8" s="61"/>
      <c r="N8" s="61">
        <v>7</v>
      </c>
      <c r="O8" s="61"/>
      <c r="P8" s="61">
        <v>1</v>
      </c>
      <c r="Q8" s="61"/>
      <c r="R8" s="61"/>
      <c r="S8" s="61"/>
      <c r="T8" s="71">
        <f t="shared" si="0"/>
        <v>1</v>
      </c>
      <c r="U8" s="71"/>
      <c r="V8" s="71"/>
      <c r="W8" s="71">
        <v>0</v>
      </c>
    </row>
    <row r="9" spans="2:27">
      <c r="C9" s="70" t="s">
        <v>200</v>
      </c>
      <c r="G9" s="70"/>
      <c r="L9" s="61"/>
      <c r="M9" s="61"/>
      <c r="N9" s="61">
        <v>8</v>
      </c>
      <c r="O9" s="61"/>
      <c r="P9" s="61">
        <v>1</v>
      </c>
      <c r="Q9" s="61"/>
      <c r="R9" s="61"/>
      <c r="S9" s="61"/>
      <c r="T9" s="71">
        <f t="shared" si="0"/>
        <v>1</v>
      </c>
      <c r="U9" s="71"/>
      <c r="V9" s="71"/>
      <c r="W9" s="71">
        <v>0</v>
      </c>
    </row>
    <row r="10" spans="2:27">
      <c r="B10" s="73">
        <v>1200</v>
      </c>
      <c r="C10" s="70"/>
      <c r="G10" s="70"/>
      <c r="I10" s="73">
        <v>700</v>
      </c>
      <c r="J10" s="70"/>
      <c r="L10" s="61"/>
      <c r="M10" s="61"/>
      <c r="N10" s="61">
        <v>9</v>
      </c>
      <c r="O10" s="61"/>
      <c r="P10" s="61">
        <v>1</v>
      </c>
      <c r="Q10" s="61"/>
      <c r="R10" s="61"/>
      <c r="S10" s="61"/>
      <c r="T10" s="71">
        <f t="shared" si="0"/>
        <v>1</v>
      </c>
      <c r="U10" s="71"/>
      <c r="V10" s="71"/>
      <c r="W10" s="71">
        <v>0</v>
      </c>
    </row>
    <row r="11" spans="2:27">
      <c r="C11" s="70" t="s">
        <v>199</v>
      </c>
      <c r="G11" s="70"/>
      <c r="J11" s="70" t="s">
        <v>190</v>
      </c>
      <c r="L11" s="61"/>
      <c r="M11" s="61"/>
      <c r="N11" s="61">
        <v>10</v>
      </c>
      <c r="O11" s="61"/>
      <c r="P11" s="61">
        <v>1</v>
      </c>
      <c r="Q11" s="61"/>
      <c r="R11" s="61"/>
      <c r="S11" s="61"/>
      <c r="T11" s="71">
        <f t="shared" si="0"/>
        <v>1</v>
      </c>
      <c r="U11" s="71"/>
      <c r="V11" s="71"/>
      <c r="W11" s="71">
        <v>0</v>
      </c>
      <c r="Z11">
        <f>SUM(T2:T11)</f>
        <v>7506</v>
      </c>
      <c r="AA11" s="61" t="s">
        <v>205</v>
      </c>
    </row>
    <row r="12" spans="2:27">
      <c r="C12" s="70" t="s">
        <v>186</v>
      </c>
      <c r="G12" s="70"/>
      <c r="J12" s="70" t="s">
        <v>193</v>
      </c>
      <c r="M12" s="61" t="s">
        <v>198</v>
      </c>
      <c r="N12" s="61"/>
      <c r="T12" s="61"/>
    </row>
    <row r="13" spans="2:27">
      <c r="B13" s="73">
        <v>500</v>
      </c>
      <c r="C13" s="70"/>
      <c r="D13" s="70"/>
      <c r="E13" s="70" t="s">
        <v>201</v>
      </c>
      <c r="F13" s="70"/>
      <c r="G13" s="70"/>
      <c r="I13" s="73">
        <v>300</v>
      </c>
      <c r="J13" s="70"/>
      <c r="N13" s="61"/>
      <c r="O13" s="61"/>
      <c r="P13" s="61"/>
      <c r="Q13" s="61"/>
      <c r="R13" s="61"/>
      <c r="S13" s="61"/>
      <c r="T13" s="61" t="s">
        <v>206</v>
      </c>
      <c r="U13" s="61"/>
      <c r="V13" s="61" t="s">
        <v>207</v>
      </c>
      <c r="W13" s="61" t="s">
        <v>208</v>
      </c>
      <c r="X13" s="61"/>
      <c r="Y13" s="61" t="s">
        <v>210</v>
      </c>
    </row>
    <row r="14" spans="2:27">
      <c r="C14" s="61"/>
      <c r="G14" s="70"/>
      <c r="J14" s="70" t="s">
        <v>190</v>
      </c>
      <c r="N14" s="61">
        <v>1</v>
      </c>
      <c r="O14" s="61"/>
      <c r="P14" s="61">
        <v>1500</v>
      </c>
      <c r="Q14" s="61"/>
      <c r="R14" s="61"/>
      <c r="S14" s="61"/>
      <c r="T14" s="71">
        <f>SUM(P14:S14)</f>
        <v>1500</v>
      </c>
      <c r="U14" s="71"/>
      <c r="V14" s="71">
        <v>13</v>
      </c>
      <c r="W14" s="71">
        <v>1</v>
      </c>
      <c r="X14" s="61"/>
      <c r="Y14" s="61"/>
    </row>
    <row r="15" spans="2:27">
      <c r="C15" s="61"/>
      <c r="G15" s="70" t="s">
        <v>191</v>
      </c>
      <c r="J15" s="70" t="s">
        <v>194</v>
      </c>
      <c r="N15" s="61">
        <v>2</v>
      </c>
      <c r="O15" s="61"/>
      <c r="P15" s="61">
        <v>1200</v>
      </c>
      <c r="Q15" s="61"/>
      <c r="R15" s="61"/>
      <c r="S15" s="61"/>
      <c r="T15" s="71">
        <f t="shared" ref="T15:T23" si="1">SUM(P15:S15)</f>
        <v>1200</v>
      </c>
      <c r="U15" s="71"/>
      <c r="V15" s="71">
        <v>13</v>
      </c>
      <c r="W15" s="71">
        <v>1.5</v>
      </c>
      <c r="X15" s="61"/>
      <c r="Y15" s="61"/>
    </row>
    <row r="16" spans="2:27">
      <c r="G16" s="70" t="s">
        <v>188</v>
      </c>
      <c r="I16" s="73">
        <v>500</v>
      </c>
      <c r="J16" s="70"/>
      <c r="N16" s="61">
        <v>3</v>
      </c>
      <c r="O16" s="61"/>
      <c r="P16" s="61">
        <v>500</v>
      </c>
      <c r="Q16" s="61"/>
      <c r="R16" s="61"/>
      <c r="S16" s="61"/>
      <c r="T16" s="71">
        <f t="shared" si="1"/>
        <v>500</v>
      </c>
      <c r="U16" s="71"/>
      <c r="V16" s="71">
        <v>16</v>
      </c>
      <c r="W16" s="71">
        <v>1.9</v>
      </c>
      <c r="X16" s="61"/>
    </row>
    <row r="17" spans="1:27">
      <c r="G17" s="70"/>
      <c r="J17" s="70"/>
      <c r="N17" s="61">
        <v>4</v>
      </c>
      <c r="O17" s="61"/>
      <c r="P17" s="61">
        <v>2000</v>
      </c>
      <c r="Q17" s="61">
        <v>800</v>
      </c>
      <c r="R17" s="61"/>
      <c r="S17" s="61"/>
      <c r="T17" s="71">
        <f t="shared" si="1"/>
        <v>2800</v>
      </c>
      <c r="U17" s="71"/>
      <c r="V17" s="71">
        <v>20</v>
      </c>
      <c r="W17" s="71">
        <v>2</v>
      </c>
      <c r="X17" s="61"/>
      <c r="Y17" s="61" t="s">
        <v>196</v>
      </c>
    </row>
    <row r="18" spans="1:27">
      <c r="G18" s="70"/>
      <c r="J18" s="70"/>
      <c r="N18" s="61">
        <v>5</v>
      </c>
      <c r="O18" s="61"/>
      <c r="P18" s="61">
        <v>700</v>
      </c>
      <c r="Q18" s="61">
        <v>300</v>
      </c>
      <c r="R18" s="61">
        <v>500</v>
      </c>
      <c r="S18" s="61"/>
      <c r="T18" s="71">
        <f t="shared" si="1"/>
        <v>1500</v>
      </c>
      <c r="U18" s="71"/>
      <c r="V18" s="71">
        <v>25</v>
      </c>
      <c r="W18" s="71">
        <v>4</v>
      </c>
      <c r="X18" s="61"/>
      <c r="Y18" s="61" t="s">
        <v>196</v>
      </c>
    </row>
    <row r="19" spans="1:27">
      <c r="G19" s="70"/>
      <c r="H19" s="70"/>
      <c r="I19" s="70" t="s">
        <v>195</v>
      </c>
      <c r="J19" s="70"/>
      <c r="N19" s="61">
        <v>6</v>
      </c>
      <c r="O19" s="61"/>
      <c r="P19" s="61">
        <v>1</v>
      </c>
      <c r="Q19" s="61"/>
      <c r="R19" s="61"/>
      <c r="S19" s="61"/>
      <c r="T19" s="71">
        <f t="shared" si="1"/>
        <v>1</v>
      </c>
      <c r="U19" s="71"/>
      <c r="V19" s="71"/>
      <c r="W19" s="71">
        <v>0</v>
      </c>
      <c r="X19" s="61"/>
      <c r="Y19" s="61"/>
    </row>
    <row r="20" spans="1:27">
      <c r="G20" s="70"/>
      <c r="N20" s="61">
        <v>7</v>
      </c>
      <c r="O20" s="61"/>
      <c r="P20" s="61">
        <v>1</v>
      </c>
      <c r="Q20" s="61"/>
      <c r="R20" s="61"/>
      <c r="S20" s="61"/>
      <c r="T20" s="71">
        <f t="shared" si="1"/>
        <v>1</v>
      </c>
      <c r="U20" s="71"/>
      <c r="V20" s="71"/>
      <c r="W20" s="71">
        <v>0</v>
      </c>
      <c r="X20" s="61"/>
      <c r="Y20" s="61"/>
    </row>
    <row r="21" spans="1:27">
      <c r="G21" s="70"/>
      <c r="N21" s="61">
        <v>8</v>
      </c>
      <c r="O21" s="61"/>
      <c r="P21" s="61">
        <v>1</v>
      </c>
      <c r="Q21" s="61"/>
      <c r="R21" s="61"/>
      <c r="S21" s="61"/>
      <c r="T21" s="71">
        <f t="shared" si="1"/>
        <v>1</v>
      </c>
      <c r="U21" s="71"/>
      <c r="V21" s="71"/>
      <c r="W21" s="71">
        <v>0</v>
      </c>
      <c r="X21" s="61"/>
      <c r="Y21" s="61"/>
    </row>
    <row r="22" spans="1:27">
      <c r="G22" s="70" t="s">
        <v>192</v>
      </c>
      <c r="N22" s="61">
        <v>9</v>
      </c>
      <c r="O22" s="61"/>
      <c r="P22" s="61">
        <v>1</v>
      </c>
      <c r="Q22" s="61"/>
      <c r="R22" s="61"/>
      <c r="S22" s="61"/>
      <c r="T22" s="71">
        <f t="shared" si="1"/>
        <v>1</v>
      </c>
      <c r="U22" s="71"/>
      <c r="V22" s="71"/>
      <c r="W22" s="71">
        <v>0</v>
      </c>
      <c r="X22" s="61"/>
      <c r="Y22" s="61"/>
    </row>
    <row r="23" spans="1:27">
      <c r="G23" s="70" t="s">
        <v>189</v>
      </c>
      <c r="N23" s="61">
        <v>10</v>
      </c>
      <c r="O23" s="61"/>
      <c r="P23" s="61">
        <v>1</v>
      </c>
      <c r="Q23" s="61"/>
      <c r="R23" s="61"/>
      <c r="S23" s="61"/>
      <c r="T23" s="71">
        <f t="shared" si="1"/>
        <v>1</v>
      </c>
      <c r="U23" s="71"/>
      <c r="V23" s="71"/>
      <c r="W23" s="71">
        <v>0</v>
      </c>
      <c r="X23" s="61"/>
      <c r="Y23" s="61"/>
      <c r="Z23">
        <f>SUM(T14:T23)</f>
        <v>7505</v>
      </c>
      <c r="AA23" s="61" t="s">
        <v>205</v>
      </c>
    </row>
    <row r="24" spans="1:27">
      <c r="G24" s="61" t="s">
        <v>204</v>
      </c>
      <c r="K24" s="61" t="s">
        <v>202</v>
      </c>
    </row>
    <row r="25" spans="1:27">
      <c r="K25" s="61" t="s">
        <v>203</v>
      </c>
    </row>
    <row r="27" spans="1:27">
      <c r="A27" s="146" t="s">
        <v>336</v>
      </c>
    </row>
    <row r="28" spans="1:27">
      <c r="A28" s="86" t="s">
        <v>333</v>
      </c>
    </row>
    <row r="29" spans="1:27">
      <c r="A29" s="146" t="s">
        <v>337</v>
      </c>
    </row>
    <row r="30" spans="1:27">
      <c r="A30" s="86" t="s">
        <v>334</v>
      </c>
    </row>
    <row r="31" spans="1:27">
      <c r="A31" s="146" t="s">
        <v>338</v>
      </c>
    </row>
    <row r="32" spans="1:27">
      <c r="A32" s="86" t="s">
        <v>335</v>
      </c>
    </row>
    <row r="34" spans="1:1">
      <c r="A34" s="86" t="s">
        <v>339</v>
      </c>
    </row>
    <row r="35" spans="1:1">
      <c r="A35" t="s">
        <v>340</v>
      </c>
    </row>
    <row r="36" spans="1:1">
      <c r="A36" t="s">
        <v>341</v>
      </c>
    </row>
    <row r="37" spans="1:1">
      <c r="A37" t="s">
        <v>342</v>
      </c>
    </row>
    <row r="38" spans="1:1">
      <c r="A38" t="s">
        <v>343</v>
      </c>
    </row>
    <row r="39" spans="1:1">
      <c r="A39" s="146" t="s">
        <v>350</v>
      </c>
    </row>
  </sheetData>
  <hyperlinks>
    <hyperlink ref="A28" r:id="rId1"/>
    <hyperlink ref="A32" r:id="rId2"/>
    <hyperlink ref="A30" r:id="rId3"/>
    <hyperlink ref="A34" r:id="rId4"/>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dimension ref="A1:AK70"/>
  <sheetViews>
    <sheetView workbookViewId="0">
      <selection activeCell="B3" sqref="B3"/>
    </sheetView>
  </sheetViews>
  <sheetFormatPr defaultColWidth="7.7109375" defaultRowHeight="15"/>
  <cols>
    <col min="1" max="19" width="8" style="297" customWidth="1"/>
    <col min="20" max="20" width="7.7109375" style="297" hidden="1" customWidth="1"/>
    <col min="21" max="21" width="0" style="297" hidden="1" customWidth="1"/>
    <col min="22" max="16384" width="7.7109375" style="297"/>
  </cols>
  <sheetData>
    <row r="1" spans="1:37">
      <c r="B1" s="270" t="s">
        <v>1339</v>
      </c>
      <c r="N1" s="154">
        <v>1.3</v>
      </c>
      <c r="O1" s="297" t="s">
        <v>1338</v>
      </c>
      <c r="T1" s="297">
        <f>Q9</f>
        <v>62.728699000115661</v>
      </c>
      <c r="U1" s="297" t="s">
        <v>1337</v>
      </c>
      <c r="W1" s="2" t="s">
        <v>171</v>
      </c>
      <c r="X1" s="1"/>
      <c r="Y1" s="1"/>
      <c r="AI1" s="297" t="s">
        <v>1336</v>
      </c>
      <c r="AJ1" s="297" t="s">
        <v>1335</v>
      </c>
    </row>
    <row r="2" spans="1:37" ht="15.75" thickBot="1">
      <c r="B2" s="154">
        <v>25</v>
      </c>
      <c r="C2" s="297" t="s">
        <v>1334</v>
      </c>
      <c r="E2" s="1"/>
      <c r="N2" s="154">
        <v>50</v>
      </c>
      <c r="O2" s="297" t="s">
        <v>1333</v>
      </c>
      <c r="T2" s="297">
        <f>Q19</f>
        <v>35.944324000115664</v>
      </c>
      <c r="U2" s="297" t="s">
        <v>1332</v>
      </c>
      <c r="W2" s="1" t="s">
        <v>172</v>
      </c>
      <c r="X2" s="38" t="s">
        <v>2</v>
      </c>
      <c r="Y2" s="38" t="s">
        <v>1</v>
      </c>
      <c r="AI2" s="297">
        <v>0.8</v>
      </c>
      <c r="AJ2" s="297">
        <v>76.25</v>
      </c>
    </row>
    <row r="3" spans="1:37">
      <c r="B3" s="154">
        <v>2400</v>
      </c>
      <c r="C3" s="297" t="s">
        <v>2</v>
      </c>
      <c r="E3" s="48" t="s">
        <v>1239</v>
      </c>
      <c r="G3" s="86"/>
      <c r="H3" s="86"/>
      <c r="N3" s="154">
        <v>800</v>
      </c>
      <c r="O3" s="297" t="s">
        <v>1331</v>
      </c>
      <c r="T3" s="297">
        <f>$B$4</f>
        <v>60</v>
      </c>
      <c r="U3" s="297" t="s">
        <v>1330</v>
      </c>
      <c r="W3" s="1">
        <f>X3/1000/SQRT(Y3/100)</f>
        <v>0.67529252920493643</v>
      </c>
      <c r="X3" s="3">
        <v>302</v>
      </c>
      <c r="Y3" s="3">
        <v>20</v>
      </c>
      <c r="AI3" s="297">
        <v>0.9</v>
      </c>
      <c r="AJ3" s="297">
        <v>75.555555555555557</v>
      </c>
      <c r="AK3" s="297">
        <v>8.5709999999999997</v>
      </c>
    </row>
    <row r="4" spans="1:37">
      <c r="B4" s="154">
        <v>60</v>
      </c>
      <c r="C4" s="297" t="s">
        <v>1329</v>
      </c>
      <c r="G4" s="297" t="s">
        <v>1328</v>
      </c>
      <c r="N4" s="353">
        <f>N3/85.71/N2</f>
        <v>0.18667600046669</v>
      </c>
      <c r="O4" s="297" t="s">
        <v>1327</v>
      </c>
      <c r="T4" s="270">
        <f>$B$4+$B$2/$B$3/4.2*3600</f>
        <v>68.928571428571431</v>
      </c>
      <c r="U4" s="270" t="s">
        <v>1326</v>
      </c>
      <c r="W4" s="2" t="s">
        <v>263</v>
      </c>
      <c r="X4" s="1"/>
      <c r="Y4" s="1"/>
      <c r="AI4" s="297">
        <v>1</v>
      </c>
      <c r="AJ4" s="297">
        <v>75.000500025001244</v>
      </c>
    </row>
    <row r="5" spans="1:37">
      <c r="G5" s="86" t="s">
        <v>183</v>
      </c>
      <c r="N5" s="154">
        <v>20</v>
      </c>
      <c r="O5" s="297" t="s">
        <v>1325</v>
      </c>
      <c r="Q5" s="352">
        <f>(Q9-Q19)/(Q9-N5)</f>
        <v>0.62684742636155377</v>
      </c>
      <c r="R5" s="351" t="s">
        <v>1324</v>
      </c>
      <c r="W5" s="297" t="s">
        <v>176</v>
      </c>
      <c r="X5" s="297" t="s">
        <v>177</v>
      </c>
      <c r="Y5" s="297" t="s">
        <v>178</v>
      </c>
      <c r="AI5" s="297">
        <v>1.1000000000000001</v>
      </c>
      <c r="AJ5" s="297">
        <v>75.455045479546698</v>
      </c>
    </row>
    <row r="6" spans="1:37" ht="15.75" thickBot="1">
      <c r="A6" s="270" t="s">
        <v>1323</v>
      </c>
      <c r="T6" s="297">
        <f>IF(T1&gt;T4,T1-T4,0)</f>
        <v>0</v>
      </c>
      <c r="U6" s="297" t="s">
        <v>1322</v>
      </c>
      <c r="W6" s="154">
        <v>4</v>
      </c>
      <c r="X6" s="154">
        <v>3</v>
      </c>
      <c r="Y6" s="297">
        <f>4*W6*X6/1000</f>
        <v>4.8000000000000001E-2</v>
      </c>
      <c r="AI6" s="297">
        <v>1.2</v>
      </c>
      <c r="AJ6" s="297">
        <v>75.833833358334573</v>
      </c>
    </row>
    <row r="7" spans="1:37">
      <c r="A7" s="350"/>
      <c r="B7" s="349" t="s">
        <v>1321</v>
      </c>
      <c r="C7" s="349"/>
      <c r="D7" s="349"/>
      <c r="E7" s="349"/>
      <c r="F7" s="349" t="s">
        <v>1320</v>
      </c>
      <c r="G7" s="349"/>
      <c r="H7" s="349"/>
      <c r="I7" s="349"/>
      <c r="J7" s="349"/>
      <c r="K7" s="349"/>
      <c r="L7" s="349" t="s">
        <v>1319</v>
      </c>
      <c r="M7" s="349"/>
      <c r="N7" s="349"/>
      <c r="O7" s="349"/>
      <c r="P7" s="349"/>
      <c r="Q7" s="349" t="s">
        <v>1318</v>
      </c>
      <c r="R7" s="349"/>
      <c r="S7" s="348"/>
      <c r="T7" s="297">
        <f>IF(T2&gt;T3,T2-T3,0)</f>
        <v>0</v>
      </c>
      <c r="U7" s="297" t="s">
        <v>1317</v>
      </c>
      <c r="W7" s="2" t="s">
        <v>1316</v>
      </c>
      <c r="X7" s="1"/>
      <c r="Y7" s="1"/>
      <c r="AI7" s="297">
        <v>1.3</v>
      </c>
      <c r="AJ7" s="297">
        <v>76.154346178847405</v>
      </c>
    </row>
    <row r="8" spans="1:37">
      <c r="A8" s="332"/>
      <c r="B8" s="297" t="s">
        <v>1315</v>
      </c>
      <c r="Q8" s="297" t="s">
        <v>1314</v>
      </c>
      <c r="S8" s="330"/>
      <c r="T8" s="297">
        <f>IF(T6&gt;T7,T6,T7)</f>
        <v>0</v>
      </c>
      <c r="U8" s="297" t="s">
        <v>1313</v>
      </c>
      <c r="W8" s="1" t="s">
        <v>1027</v>
      </c>
      <c r="X8" s="1" t="s">
        <v>1025</v>
      </c>
      <c r="Y8" s="1" t="s">
        <v>1026</v>
      </c>
    </row>
    <row r="9" spans="1:37">
      <c r="A9" s="332"/>
      <c r="B9" s="347">
        <f>$B$4+$B$2/$B$3/4.2*3600+T8</f>
        <v>68.928571428571431</v>
      </c>
      <c r="C9" s="346">
        <f t="shared" ref="C9:K9" si="0">B9</f>
        <v>68.928571428571431</v>
      </c>
      <c r="D9" s="346">
        <f t="shared" si="0"/>
        <v>68.928571428571431</v>
      </c>
      <c r="E9" s="346">
        <f t="shared" si="0"/>
        <v>68.928571428571431</v>
      </c>
      <c r="F9" s="346">
        <f t="shared" si="0"/>
        <v>68.928571428571431</v>
      </c>
      <c r="G9" s="346">
        <f t="shared" si="0"/>
        <v>68.928571428571431</v>
      </c>
      <c r="H9" s="346">
        <f t="shared" si="0"/>
        <v>68.928571428571431</v>
      </c>
      <c r="I9" s="346">
        <f t="shared" si="0"/>
        <v>68.928571428571431</v>
      </c>
      <c r="J9" s="346">
        <f t="shared" si="0"/>
        <v>68.928571428571431</v>
      </c>
      <c r="K9" s="346">
        <f t="shared" si="0"/>
        <v>68.928571428571431</v>
      </c>
      <c r="L9" s="346">
        <f>M9</f>
        <v>62.728699000115661</v>
      </c>
      <c r="M9" s="346">
        <f>N9</f>
        <v>62.728699000115661</v>
      </c>
      <c r="N9" s="346">
        <f>O9</f>
        <v>62.728699000115661</v>
      </c>
      <c r="O9" s="346">
        <f>P9</f>
        <v>62.728699000115661</v>
      </c>
      <c r="P9" s="346">
        <f>Q9</f>
        <v>62.728699000115661</v>
      </c>
      <c r="Q9" s="345">
        <f>N5+50*(B2/N2)^(1/$N$1)+50*(B2/N2)*8.571/N3*N2</f>
        <v>62.728699000115661</v>
      </c>
      <c r="S9" s="330"/>
      <c r="T9" s="297">
        <v>10</v>
      </c>
      <c r="W9" s="1">
        <v>1000</v>
      </c>
      <c r="X9" s="3">
        <v>1.96</v>
      </c>
      <c r="Y9" s="1">
        <f>X9*X9*W9/2</f>
        <v>1920.7999999999997</v>
      </c>
      <c r="AI9" s="297" t="s">
        <v>1312</v>
      </c>
    </row>
    <row r="10" spans="1:37">
      <c r="A10" s="332"/>
      <c r="B10" s="339">
        <f t="shared" ref="B10:B18" si="1">$B$19+($B$9-$B$19)*$T10/10</f>
        <v>68.035714285714292</v>
      </c>
      <c r="C10" s="347"/>
      <c r="D10" s="346">
        <f>$B2/4.2/(D9-D19)*3600</f>
        <v>2399.9999999999995</v>
      </c>
      <c r="E10" s="346" t="s">
        <v>2</v>
      </c>
      <c r="F10" s="345"/>
      <c r="G10" s="338">
        <f t="shared" ref="G10:G18" si="2">G9</f>
        <v>68.928571428571431</v>
      </c>
      <c r="H10" s="347"/>
      <c r="I10" s="346">
        <f>$B2/4.2/(I9-I19)*3600</f>
        <v>649.6607653411196</v>
      </c>
      <c r="J10" s="346" t="s">
        <v>2</v>
      </c>
      <c r="K10" s="345"/>
      <c r="L10" s="340">
        <f t="shared" ref="L10:L19" si="3">IF($B$19&gt;$B$4,G10,IF($M$14&lt;0,$N$9,$N$19))</f>
        <v>35.944324000115664</v>
      </c>
      <c r="M10" s="347"/>
      <c r="N10" s="346">
        <f>$B2/4.2/(N9-N19)*3600</f>
        <v>800.04000200010012</v>
      </c>
      <c r="O10" s="346" t="s">
        <v>2</v>
      </c>
      <c r="P10" s="345"/>
      <c r="Q10" s="337">
        <f t="shared" ref="Q10:Q18" si="4">Q$19+(Q$9-Q$19)*T10/10</f>
        <v>60.050261500115667</v>
      </c>
      <c r="S10" s="330"/>
      <c r="T10" s="297">
        <v>9</v>
      </c>
      <c r="AI10" s="297" t="s">
        <v>1311</v>
      </c>
    </row>
    <row r="11" spans="1:37">
      <c r="A11" s="332"/>
      <c r="B11" s="339">
        <f t="shared" si="1"/>
        <v>67.142857142857139</v>
      </c>
      <c r="C11" s="339"/>
      <c r="D11" s="338">
        <f>D10*(D9-D19)*4.2/3600</f>
        <v>25.000000000000004</v>
      </c>
      <c r="E11" s="338" t="s">
        <v>59</v>
      </c>
      <c r="F11" s="337"/>
      <c r="G11" s="338">
        <f t="shared" si="2"/>
        <v>68.928571428571431</v>
      </c>
      <c r="H11" s="339"/>
      <c r="I11" s="338">
        <f>I10*(I9-I19)*4.2/3600</f>
        <v>25.000000000000004</v>
      </c>
      <c r="J11" s="338" t="s">
        <v>59</v>
      </c>
      <c r="K11" s="337"/>
      <c r="L11" s="340">
        <f t="shared" si="3"/>
        <v>35.944324000115664</v>
      </c>
      <c r="M11" s="339"/>
      <c r="N11" s="338">
        <f>N10*(N9-N19)*4.2/3600</f>
        <v>25</v>
      </c>
      <c r="O11" s="338" t="s">
        <v>59</v>
      </c>
      <c r="P11" s="337"/>
      <c r="Q11" s="337">
        <f t="shared" si="4"/>
        <v>57.371824000115666</v>
      </c>
      <c r="S11" s="330"/>
      <c r="T11" s="297">
        <v>8</v>
      </c>
      <c r="W11" s="86" t="s">
        <v>1310</v>
      </c>
      <c r="AI11" s="297" t="s">
        <v>1309</v>
      </c>
    </row>
    <row r="12" spans="1:37">
      <c r="A12" s="332"/>
      <c r="B12" s="339">
        <f t="shared" si="1"/>
        <v>66.25</v>
      </c>
      <c r="C12" s="339"/>
      <c r="D12" s="344">
        <f>D10/1000/SQRT(D13/104)</f>
        <v>6.3194936506020785</v>
      </c>
      <c r="E12" s="343" t="s">
        <v>1308</v>
      </c>
      <c r="F12" s="337"/>
      <c r="G12" s="338">
        <f t="shared" si="2"/>
        <v>68.928571428571431</v>
      </c>
      <c r="H12" s="339"/>
      <c r="I12" s="338"/>
      <c r="J12" s="338"/>
      <c r="K12" s="337"/>
      <c r="L12" s="340">
        <f t="shared" si="3"/>
        <v>35.944324000115664</v>
      </c>
      <c r="M12" s="339"/>
      <c r="N12" s="344">
        <f>N10/1000/SQRT(N13/104)</f>
        <v>1.8243718987535589</v>
      </c>
      <c r="O12" s="343" t="s">
        <v>1307</v>
      </c>
      <c r="P12" s="337"/>
      <c r="Q12" s="337">
        <f t="shared" si="4"/>
        <v>54.693386500115665</v>
      </c>
      <c r="S12" s="330"/>
      <c r="T12" s="297">
        <v>7</v>
      </c>
      <c r="W12" s="270" t="s">
        <v>1306</v>
      </c>
    </row>
    <row r="13" spans="1:37">
      <c r="A13" s="332"/>
      <c r="B13" s="339">
        <f t="shared" si="1"/>
        <v>65.357142857142861</v>
      </c>
      <c r="C13" s="339"/>
      <c r="D13" s="342">
        <v>15</v>
      </c>
      <c r="E13" s="341" t="s">
        <v>1305</v>
      </c>
      <c r="F13" s="337"/>
      <c r="G13" s="338">
        <f t="shared" si="2"/>
        <v>68.928571428571431</v>
      </c>
      <c r="H13" s="339"/>
      <c r="I13" s="338"/>
      <c r="J13" s="338"/>
      <c r="K13" s="337"/>
      <c r="L13" s="340">
        <f t="shared" si="3"/>
        <v>35.944324000115664</v>
      </c>
      <c r="M13" s="339">
        <f>IF($B$19&gt;$B$4,N10-I10,N10-I10)</f>
        <v>150.37923665898052</v>
      </c>
      <c r="N13" s="342">
        <v>20</v>
      </c>
      <c r="O13" s="341" t="s">
        <v>1305</v>
      </c>
      <c r="P13" s="337"/>
      <c r="Q13" s="337">
        <f t="shared" si="4"/>
        <v>52.014949000115664</v>
      </c>
      <c r="S13" s="330"/>
      <c r="T13" s="297">
        <v>6</v>
      </c>
      <c r="W13" s="297" t="s">
        <v>282</v>
      </c>
      <c r="X13" s="297" t="s">
        <v>1277</v>
      </c>
      <c r="Y13" s="297" t="s">
        <v>15</v>
      </c>
      <c r="Z13" s="297" t="s">
        <v>1</v>
      </c>
      <c r="AA13" s="297" t="s">
        <v>2</v>
      </c>
      <c r="AB13" s="297" t="s">
        <v>1277</v>
      </c>
      <c r="AC13" s="297" t="s">
        <v>244</v>
      </c>
      <c r="AD13" s="297" t="s">
        <v>1304</v>
      </c>
      <c r="AE13" s="297" t="s">
        <v>412</v>
      </c>
      <c r="AF13" s="297" t="s">
        <v>1303</v>
      </c>
    </row>
    <row r="14" spans="1:37">
      <c r="A14" s="332"/>
      <c r="B14" s="339">
        <f t="shared" si="1"/>
        <v>64.464285714285722</v>
      </c>
      <c r="C14" s="339"/>
      <c r="D14" s="338"/>
      <c r="E14" s="338"/>
      <c r="F14" s="337"/>
      <c r="G14" s="338">
        <f t="shared" si="2"/>
        <v>68.928571428571431</v>
      </c>
      <c r="H14" s="339">
        <f>D10-I10</f>
        <v>1750.3392346588798</v>
      </c>
      <c r="I14" s="338"/>
      <c r="J14" s="338"/>
      <c r="K14" s="337"/>
      <c r="L14" s="340">
        <f t="shared" si="3"/>
        <v>35.944324000115664</v>
      </c>
      <c r="M14" s="339"/>
      <c r="N14" s="338"/>
      <c r="O14" s="338"/>
      <c r="P14" s="337"/>
      <c r="Q14" s="337">
        <f t="shared" si="4"/>
        <v>49.336511500115662</v>
      </c>
      <c r="S14" s="330"/>
      <c r="T14" s="297">
        <v>5</v>
      </c>
      <c r="W14" s="297">
        <v>10</v>
      </c>
      <c r="X14" s="297">
        <v>14.7</v>
      </c>
      <c r="Y14" s="154">
        <v>0.8</v>
      </c>
      <c r="Z14" s="1">
        <f t="shared" ref="Z14:Z20" si="5">X14*1000*Y14*Y14/2/1000</f>
        <v>4.7039999999999997</v>
      </c>
      <c r="AA14" s="297">
        <f t="shared" ref="AA14:AA20" si="6">W14*W14*3.14/4*Y14*3600/1000</f>
        <v>226.08000000000004</v>
      </c>
      <c r="AB14" s="297">
        <f t="shared" ref="AB14:AB20" si="7">X14</f>
        <v>14.7</v>
      </c>
      <c r="AC14" s="1">
        <f t="shared" ref="AC14:AC20" si="8">AA14/1000/SQRT(Z14/100)</f>
        <v>1.0423858034649678</v>
      </c>
      <c r="AD14" s="297">
        <f t="shared" ref="AD14:AD20" si="9">W14*W14/25/SQRT(X14)</f>
        <v>1.0432810619146022</v>
      </c>
      <c r="AE14" s="297">
        <f t="shared" ref="AE14:AE20" si="10">W14*W14*3.14/4</f>
        <v>78.5</v>
      </c>
      <c r="AF14" s="297">
        <f t="shared" ref="AF14:AF20" si="11">20*AD14</f>
        <v>20.865621238292043</v>
      </c>
    </row>
    <row r="15" spans="1:37">
      <c r="A15" s="332"/>
      <c r="B15" s="339">
        <f t="shared" si="1"/>
        <v>63.571428571428569</v>
      </c>
      <c r="C15" s="339"/>
      <c r="D15" s="342">
        <v>27.2</v>
      </c>
      <c r="E15" s="341" t="s">
        <v>1302</v>
      </c>
      <c r="F15" s="337"/>
      <c r="G15" s="338">
        <f t="shared" si="2"/>
        <v>68.928571428571431</v>
      </c>
      <c r="H15" s="339" t="s">
        <v>2</v>
      </c>
      <c r="I15" s="338"/>
      <c r="J15" s="338"/>
      <c r="K15" s="337"/>
      <c r="L15" s="340">
        <f t="shared" si="3"/>
        <v>35.944324000115664</v>
      </c>
      <c r="M15" s="339" t="s">
        <v>2</v>
      </c>
      <c r="N15" s="342">
        <v>20</v>
      </c>
      <c r="O15" s="341" t="s">
        <v>1302</v>
      </c>
      <c r="P15" s="337"/>
      <c r="Q15" s="337">
        <f t="shared" si="4"/>
        <v>46.658074000115661</v>
      </c>
      <c r="S15" s="330"/>
      <c r="T15" s="297">
        <v>4</v>
      </c>
      <c r="W15" s="297">
        <v>15</v>
      </c>
      <c r="X15" s="297">
        <v>9.1999999999999993</v>
      </c>
      <c r="Y15" s="297">
        <f t="shared" ref="Y15:Y20" si="12">Y14</f>
        <v>0.8</v>
      </c>
      <c r="Z15" s="1">
        <f t="shared" si="5"/>
        <v>2.944</v>
      </c>
      <c r="AA15" s="297">
        <f t="shared" si="6"/>
        <v>508.68000000000006</v>
      </c>
      <c r="AB15" s="297">
        <f t="shared" si="7"/>
        <v>9.1999999999999993</v>
      </c>
      <c r="AC15" s="1">
        <f t="shared" si="8"/>
        <v>2.9646659115980176</v>
      </c>
      <c r="AD15" s="297">
        <f t="shared" si="9"/>
        <v>2.9672121302810419</v>
      </c>
      <c r="AE15" s="297">
        <f t="shared" si="10"/>
        <v>176.625</v>
      </c>
      <c r="AF15" s="297">
        <f t="shared" si="11"/>
        <v>59.344242605620835</v>
      </c>
    </row>
    <row r="16" spans="1:37">
      <c r="A16" s="332"/>
      <c r="B16" s="339">
        <f t="shared" si="1"/>
        <v>62.678571428571431</v>
      </c>
      <c r="C16" s="339"/>
      <c r="D16" s="338">
        <f>D17/3600/(D15*D15*3.14/4/1000)</f>
        <v>1.1478926527523707</v>
      </c>
      <c r="E16" s="338" t="s">
        <v>15</v>
      </c>
      <c r="F16" s="337"/>
      <c r="G16" s="338">
        <f t="shared" si="2"/>
        <v>68.928571428571431</v>
      </c>
      <c r="H16" s="339"/>
      <c r="I16" s="338"/>
      <c r="J16" s="338"/>
      <c r="K16" s="337"/>
      <c r="L16" s="340">
        <f t="shared" si="3"/>
        <v>35.944324000115664</v>
      </c>
      <c r="M16" s="339"/>
      <c r="N16" s="338">
        <f>N17/3600/(N15*N15*3.14/4/1000)</f>
        <v>0.70774947098381114</v>
      </c>
      <c r="O16" s="338" t="s">
        <v>15</v>
      </c>
      <c r="P16" s="337"/>
      <c r="Q16" s="337">
        <f t="shared" si="4"/>
        <v>43.97963650011566</v>
      </c>
      <c r="S16" s="330"/>
      <c r="T16" s="297">
        <v>3</v>
      </c>
      <c r="W16" s="297">
        <v>20</v>
      </c>
      <c r="X16" s="297">
        <v>7.4</v>
      </c>
      <c r="Y16" s="297">
        <f t="shared" si="12"/>
        <v>0.8</v>
      </c>
      <c r="Z16" s="1">
        <f t="shared" si="5"/>
        <v>2.3679999999999999</v>
      </c>
      <c r="AA16" s="297">
        <f t="shared" si="6"/>
        <v>904.32000000000016</v>
      </c>
      <c r="AB16" s="297">
        <f t="shared" si="7"/>
        <v>7.4</v>
      </c>
      <c r="AC16" s="1">
        <f t="shared" si="8"/>
        <v>5.8766697684630511</v>
      </c>
      <c r="AD16" s="297">
        <f t="shared" si="9"/>
        <v>5.8817169767504627</v>
      </c>
      <c r="AE16" s="297">
        <f t="shared" si="10"/>
        <v>314</v>
      </c>
      <c r="AF16" s="297">
        <f t="shared" si="11"/>
        <v>117.63433953500925</v>
      </c>
    </row>
    <row r="17" spans="1:37">
      <c r="A17" s="332"/>
      <c r="B17" s="339">
        <f t="shared" si="1"/>
        <v>61.785714285714285</v>
      </c>
      <c r="C17" s="339"/>
      <c r="D17" s="338">
        <f>D10</f>
        <v>2399.9999999999995</v>
      </c>
      <c r="E17" s="338" t="str">
        <f>E10</f>
        <v>kg/hod</v>
      </c>
      <c r="F17" s="337"/>
      <c r="G17" s="338">
        <f t="shared" si="2"/>
        <v>68.928571428571431</v>
      </c>
      <c r="H17" s="338"/>
      <c r="I17" s="338">
        <f>I10</f>
        <v>649.6607653411196</v>
      </c>
      <c r="J17" s="338" t="str">
        <f>J10</f>
        <v>kg/hod</v>
      </c>
      <c r="K17" s="337"/>
      <c r="L17" s="340">
        <f t="shared" si="3"/>
        <v>35.944324000115664</v>
      </c>
      <c r="M17" s="339"/>
      <c r="N17" s="338">
        <f>N10</f>
        <v>800.04000200010012</v>
      </c>
      <c r="O17" s="338" t="str">
        <f>O10</f>
        <v>kg/hod</v>
      </c>
      <c r="P17" s="337"/>
      <c r="Q17" s="337">
        <f t="shared" si="4"/>
        <v>41.301199000115666</v>
      </c>
      <c r="S17" s="330"/>
      <c r="T17" s="297">
        <v>2</v>
      </c>
      <c r="W17" s="297">
        <v>25</v>
      </c>
      <c r="X17" s="297">
        <v>7.3</v>
      </c>
      <c r="Y17" s="297">
        <f t="shared" si="12"/>
        <v>0.8</v>
      </c>
      <c r="Z17" s="1">
        <f t="shared" si="5"/>
        <v>2.3359999999999999</v>
      </c>
      <c r="AA17" s="297">
        <f t="shared" si="6"/>
        <v>1413</v>
      </c>
      <c r="AB17" s="297">
        <f t="shared" si="7"/>
        <v>7.3</v>
      </c>
      <c r="AC17" s="1">
        <f t="shared" si="8"/>
        <v>9.2449750327496485</v>
      </c>
      <c r="AD17" s="297">
        <f t="shared" si="9"/>
        <v>9.2529151274700663</v>
      </c>
      <c r="AE17" s="297">
        <f t="shared" si="10"/>
        <v>490.625</v>
      </c>
      <c r="AF17" s="297">
        <f t="shared" si="11"/>
        <v>185.05830254940133</v>
      </c>
    </row>
    <row r="18" spans="1:37">
      <c r="A18" s="332"/>
      <c r="B18" s="339">
        <f t="shared" si="1"/>
        <v>60.892857142857146</v>
      </c>
      <c r="C18" s="339"/>
      <c r="D18" s="338">
        <f>D11</f>
        <v>25.000000000000004</v>
      </c>
      <c r="E18" s="338" t="str">
        <f>E11</f>
        <v>kW</v>
      </c>
      <c r="F18" s="337"/>
      <c r="G18" s="338">
        <f t="shared" si="2"/>
        <v>68.928571428571431</v>
      </c>
      <c r="H18" s="339"/>
      <c r="I18" s="338">
        <f>I11</f>
        <v>25.000000000000004</v>
      </c>
      <c r="J18" s="338" t="str">
        <f>J11</f>
        <v>kW</v>
      </c>
      <c r="K18" s="337"/>
      <c r="L18" s="340">
        <f t="shared" si="3"/>
        <v>35.944324000115664</v>
      </c>
      <c r="M18" s="339"/>
      <c r="N18" s="338">
        <f>N11</f>
        <v>25</v>
      </c>
      <c r="O18" s="338" t="str">
        <f>O11</f>
        <v>kW</v>
      </c>
      <c r="P18" s="337"/>
      <c r="Q18" s="337">
        <f t="shared" si="4"/>
        <v>38.622761500115665</v>
      </c>
      <c r="S18" s="330"/>
      <c r="T18" s="297">
        <v>1</v>
      </c>
      <c r="W18" s="297">
        <v>32</v>
      </c>
      <c r="X18" s="297">
        <v>6.2</v>
      </c>
      <c r="Y18" s="297">
        <f t="shared" si="12"/>
        <v>0.8</v>
      </c>
      <c r="Z18" s="1">
        <f t="shared" si="5"/>
        <v>1.984</v>
      </c>
      <c r="AA18" s="297">
        <f t="shared" si="6"/>
        <v>2315.0592000000001</v>
      </c>
      <c r="AB18" s="297">
        <f t="shared" si="7"/>
        <v>6.2</v>
      </c>
      <c r="AC18" s="1">
        <f t="shared" si="8"/>
        <v>16.435815870281782</v>
      </c>
      <c r="AD18" s="297">
        <f t="shared" si="9"/>
        <v>16.449931855923179</v>
      </c>
      <c r="AE18" s="297">
        <f t="shared" si="10"/>
        <v>803.84</v>
      </c>
      <c r="AF18" s="297">
        <f t="shared" si="11"/>
        <v>328.99863711846359</v>
      </c>
    </row>
    <row r="19" spans="1:37">
      <c r="A19" s="332"/>
      <c r="B19" s="336">
        <f>$B$4+T8</f>
        <v>60</v>
      </c>
      <c r="C19" s="334">
        <f>B19</f>
        <v>60</v>
      </c>
      <c r="D19" s="334">
        <f>C19</f>
        <v>60</v>
      </c>
      <c r="E19" s="334">
        <f>D19</f>
        <v>60</v>
      </c>
      <c r="F19" s="334">
        <f>E19</f>
        <v>60</v>
      </c>
      <c r="G19" s="335">
        <f>F19</f>
        <v>60</v>
      </c>
      <c r="H19" s="334">
        <f>IF($B$19&gt;$B$4,C19,IF($M$14&lt;0,$N$9,$N$19))</f>
        <v>35.944324000115664</v>
      </c>
      <c r="I19" s="334">
        <f>IF($B$19&gt;$B$4,D19,IF($M$14&lt;0,$N$9,$N$19))</f>
        <v>35.944324000115664</v>
      </c>
      <c r="J19" s="334">
        <f>IF($B$19&gt;$B$4,E19,IF($M$14&lt;0,$N$9,$N$19))</f>
        <v>35.944324000115664</v>
      </c>
      <c r="K19" s="334">
        <f>IF($B$19&gt;$B$4,F19,IF($M$14&lt;0,$N$9,$N$19))</f>
        <v>35.944324000115664</v>
      </c>
      <c r="L19" s="335">
        <f t="shared" si="3"/>
        <v>35.944324000115664</v>
      </c>
      <c r="M19" s="334">
        <f>N19</f>
        <v>35.944324000115664</v>
      </c>
      <c r="N19" s="334">
        <f>O19</f>
        <v>35.944324000115664</v>
      </c>
      <c r="O19" s="334">
        <f>P19</f>
        <v>35.944324000115664</v>
      </c>
      <c r="P19" s="334">
        <f>Q19</f>
        <v>35.944324000115664</v>
      </c>
      <c r="Q19" s="333">
        <f>N5+50*(B2/N2)^(1/$N$1)-50*(B2/N2)*8.571/N3*N2</f>
        <v>35.944324000115664</v>
      </c>
      <c r="S19" s="330"/>
      <c r="T19" s="297">
        <v>0</v>
      </c>
      <c r="W19" s="297">
        <v>40</v>
      </c>
      <c r="X19" s="297">
        <v>6.5</v>
      </c>
      <c r="Y19" s="297">
        <f t="shared" si="12"/>
        <v>0.8</v>
      </c>
      <c r="Z19" s="1">
        <f t="shared" si="5"/>
        <v>2.08</v>
      </c>
      <c r="AA19" s="297">
        <f t="shared" si="6"/>
        <v>3617.2800000000007</v>
      </c>
      <c r="AB19" s="297">
        <f t="shared" si="7"/>
        <v>6.5</v>
      </c>
      <c r="AC19" s="1">
        <f t="shared" si="8"/>
        <v>25.081324072519966</v>
      </c>
      <c r="AD19" s="297">
        <f t="shared" si="9"/>
        <v>25.102865297687558</v>
      </c>
      <c r="AE19" s="297">
        <f t="shared" si="10"/>
        <v>1256</v>
      </c>
      <c r="AF19" s="297">
        <f t="shared" si="11"/>
        <v>502.05730595375115</v>
      </c>
    </row>
    <row r="20" spans="1:37">
      <c r="A20" s="332"/>
      <c r="B20" s="297" t="s">
        <v>1301</v>
      </c>
      <c r="G20" s="297">
        <f>B4</f>
        <v>60</v>
      </c>
      <c r="H20" s="297" t="s">
        <v>1300</v>
      </c>
      <c r="L20" s="331">
        <f>N17</f>
        <v>800.04000200010012</v>
      </c>
      <c r="M20" s="297" t="s">
        <v>1299</v>
      </c>
      <c r="Q20" s="297" t="s">
        <v>1298</v>
      </c>
      <c r="S20" s="330"/>
      <c r="W20" s="297">
        <v>50</v>
      </c>
      <c r="X20" s="297">
        <v>5.6</v>
      </c>
      <c r="Y20" s="297">
        <f t="shared" si="12"/>
        <v>0.8</v>
      </c>
      <c r="Z20" s="1">
        <f t="shared" si="5"/>
        <v>1.792</v>
      </c>
      <c r="AA20" s="297">
        <f t="shared" si="6"/>
        <v>5652</v>
      </c>
      <c r="AB20" s="297">
        <f t="shared" si="7"/>
        <v>5.6</v>
      </c>
      <c r="AC20" s="1">
        <f t="shared" si="8"/>
        <v>42.22145062473745</v>
      </c>
      <c r="AD20" s="297">
        <f t="shared" si="9"/>
        <v>42.25771273642583</v>
      </c>
      <c r="AE20" s="297">
        <f t="shared" si="10"/>
        <v>1962.5</v>
      </c>
      <c r="AF20" s="297">
        <f t="shared" si="11"/>
        <v>845.15425472851666</v>
      </c>
    </row>
    <row r="21" spans="1:37">
      <c r="A21" s="332"/>
      <c r="G21" s="331">
        <f>H14/D10</f>
        <v>0.72930801444120008</v>
      </c>
      <c r="H21" s="297" t="s">
        <v>1297</v>
      </c>
      <c r="L21" s="331">
        <f>M13</f>
        <v>150.37923665898052</v>
      </c>
      <c r="M21" s="297" t="s">
        <v>1296</v>
      </c>
      <c r="P21" s="270" t="s">
        <v>1295</v>
      </c>
      <c r="S21" s="330"/>
    </row>
    <row r="22" spans="1:37" ht="15.75" thickBot="1">
      <c r="A22" s="329"/>
      <c r="B22" s="327"/>
      <c r="C22" s="327"/>
      <c r="D22" s="327"/>
      <c r="E22" s="327"/>
      <c r="F22" s="327"/>
      <c r="G22" s="328">
        <f>I10/D10</f>
        <v>0.27069198555879986</v>
      </c>
      <c r="H22" s="327" t="s">
        <v>1294</v>
      </c>
      <c r="I22" s="327"/>
      <c r="J22" s="327"/>
      <c r="K22" s="327"/>
      <c r="L22" s="328">
        <f>I17</f>
        <v>649.6607653411196</v>
      </c>
      <c r="M22" s="327" t="s">
        <v>1293</v>
      </c>
      <c r="N22" s="327"/>
      <c r="O22" s="327"/>
      <c r="P22" s="327"/>
      <c r="Q22" s="327"/>
      <c r="R22" s="327"/>
      <c r="S22" s="326"/>
      <c r="W22" s="297" t="s">
        <v>1292</v>
      </c>
    </row>
    <row r="23" spans="1:37">
      <c r="A23" s="297" t="s">
        <v>1291</v>
      </c>
      <c r="W23" s="154">
        <v>10</v>
      </c>
      <c r="X23" s="154">
        <v>4</v>
      </c>
      <c r="Y23" s="154">
        <v>1</v>
      </c>
      <c r="Z23" s="1">
        <f>X23*1000*Y23*Y23/2/1000</f>
        <v>2</v>
      </c>
      <c r="AA23" s="297">
        <f>W23*W23*3.14/4*Y23*3600/1000</f>
        <v>282.60000000000002</v>
      </c>
      <c r="AB23" s="297">
        <f>X23</f>
        <v>4</v>
      </c>
      <c r="AC23" s="1">
        <f>AA23/1000/SQRT(Z23/100)</f>
        <v>1.9982837636331834</v>
      </c>
      <c r="AD23" s="297">
        <f>W23*W23/25/SQRT(X23)</f>
        <v>2</v>
      </c>
      <c r="AE23" s="297">
        <f>W23*W23*3.14/4</f>
        <v>78.5</v>
      </c>
      <c r="AF23" s="297">
        <f>20*AD23</f>
        <v>40</v>
      </c>
      <c r="AI23" s="297" t="s">
        <v>1290</v>
      </c>
      <c r="AK23" s="1"/>
    </row>
    <row r="24" spans="1:37">
      <c r="A24" s="297" t="s">
        <v>1289</v>
      </c>
      <c r="AI24" s="297" t="s">
        <v>1288</v>
      </c>
    </row>
    <row r="25" spans="1:37">
      <c r="A25" s="297" t="s">
        <v>1287</v>
      </c>
      <c r="AI25" s="297" t="s">
        <v>1286</v>
      </c>
    </row>
    <row r="26" spans="1:37">
      <c r="A26" s="297" t="s">
        <v>1285</v>
      </c>
      <c r="W26" s="297" t="s">
        <v>1284</v>
      </c>
    </row>
    <row r="27" spans="1:37">
      <c r="W27" s="297" t="s">
        <v>1283</v>
      </c>
    </row>
    <row r="28" spans="1:37">
      <c r="A28" s="297" t="s">
        <v>1282</v>
      </c>
      <c r="L28" s="297" t="s">
        <v>1281</v>
      </c>
      <c r="W28" s="297" t="s">
        <v>1280</v>
      </c>
    </row>
    <row r="29" spans="1:37">
      <c r="A29" s="297" t="s">
        <v>1279</v>
      </c>
      <c r="L29" s="297" t="s">
        <v>1278</v>
      </c>
      <c r="X29" s="297" t="s">
        <v>1277</v>
      </c>
      <c r="Y29" s="297" t="s">
        <v>998</v>
      </c>
      <c r="Z29" s="297" t="s">
        <v>18</v>
      </c>
    </row>
    <row r="30" spans="1:37">
      <c r="A30" s="297" t="s">
        <v>1276</v>
      </c>
      <c r="L30" s="297" t="s">
        <v>1275</v>
      </c>
      <c r="X30" s="297">
        <v>14.7</v>
      </c>
      <c r="Y30" s="297">
        <f t="shared" ref="Y30:Y36" si="13">SQRT(1/X30)</f>
        <v>0.26082026547865056</v>
      </c>
      <c r="Z30" s="297">
        <f t="shared" ref="Z30:Z36" si="14">SQRT(SQRT(1/X30))</f>
        <v>0.51070565444162708</v>
      </c>
    </row>
    <row r="31" spans="1:37">
      <c r="A31" s="297" t="s">
        <v>1274</v>
      </c>
      <c r="L31" s="297" t="s">
        <v>1273</v>
      </c>
      <c r="X31" s="297">
        <v>9.1999999999999993</v>
      </c>
      <c r="Y31" s="297">
        <f t="shared" si="13"/>
        <v>0.32969023669789355</v>
      </c>
      <c r="Z31" s="297">
        <f t="shared" si="14"/>
        <v>0.57418658700625669</v>
      </c>
    </row>
    <row r="32" spans="1:37">
      <c r="A32" s="297" t="s">
        <v>1272</v>
      </c>
      <c r="L32" s="297" t="s">
        <v>1271</v>
      </c>
      <c r="X32" s="297">
        <v>7.4</v>
      </c>
      <c r="Y32" s="297">
        <f t="shared" si="13"/>
        <v>0.36760731104690386</v>
      </c>
      <c r="Z32" s="297">
        <f t="shared" si="14"/>
        <v>0.6063062848485935</v>
      </c>
    </row>
    <row r="33" spans="1:26">
      <c r="A33" s="297" t="s">
        <v>1270</v>
      </c>
      <c r="X33" s="297">
        <v>7.3</v>
      </c>
      <c r="Y33" s="297">
        <f t="shared" si="13"/>
        <v>0.37011660509880262</v>
      </c>
      <c r="Z33" s="297">
        <f t="shared" si="14"/>
        <v>0.60837209428013928</v>
      </c>
    </row>
    <row r="34" spans="1:26">
      <c r="B34" s="1" t="s">
        <v>185</v>
      </c>
      <c r="C34" s="1"/>
      <c r="D34" s="1"/>
      <c r="E34" s="1"/>
      <c r="F34" s="1"/>
      <c r="G34" s="1"/>
      <c r="H34" s="1"/>
      <c r="I34" s="1"/>
      <c r="X34" s="297">
        <v>6.2</v>
      </c>
      <c r="Y34" s="297">
        <f t="shared" si="13"/>
        <v>0.4016096644512494</v>
      </c>
      <c r="Z34" s="297">
        <f t="shared" si="14"/>
        <v>0.63372680584874219</v>
      </c>
    </row>
    <row r="35" spans="1:26">
      <c r="B35" s="1" t="s">
        <v>80</v>
      </c>
      <c r="C35" s="1"/>
      <c r="D35" s="1">
        <v>20</v>
      </c>
      <c r="E35" s="1"/>
      <c r="F35" s="1">
        <v>25</v>
      </c>
      <c r="G35" s="1"/>
      <c r="H35" s="1"/>
      <c r="I35" s="1"/>
      <c r="X35" s="297">
        <v>6.5</v>
      </c>
      <c r="Y35" s="297">
        <f t="shared" si="13"/>
        <v>0.39223227027636809</v>
      </c>
      <c r="Z35" s="297">
        <f t="shared" si="14"/>
        <v>0.62628449627654692</v>
      </c>
    </row>
    <row r="36" spans="1:26">
      <c r="B36" s="1"/>
      <c r="C36" s="1">
        <f>20-2*3.4</f>
        <v>13.2</v>
      </c>
      <c r="D36" s="1">
        <f>20-2*2.8</f>
        <v>14.4</v>
      </c>
      <c r="E36" s="1">
        <f>25-2*4.2</f>
        <v>16.600000000000001</v>
      </c>
      <c r="F36" s="1">
        <f>25-2*3.5</f>
        <v>18</v>
      </c>
      <c r="G36" s="1"/>
      <c r="H36" s="1"/>
      <c r="I36" s="1"/>
      <c r="X36" s="297">
        <v>5.6</v>
      </c>
      <c r="Y36" s="297">
        <f t="shared" si="13"/>
        <v>0.42257712736425829</v>
      </c>
      <c r="Z36" s="297">
        <f t="shared" si="14"/>
        <v>0.65005932603436922</v>
      </c>
    </row>
    <row r="37" spans="1:26">
      <c r="B37" s="11" t="s">
        <v>81</v>
      </c>
      <c r="C37" s="12" t="s">
        <v>82</v>
      </c>
      <c r="D37" s="12" t="s">
        <v>83</v>
      </c>
      <c r="E37" s="12" t="s">
        <v>84</v>
      </c>
      <c r="F37" s="12" t="s">
        <v>85</v>
      </c>
      <c r="G37" s="12" t="s">
        <v>86</v>
      </c>
      <c r="H37" s="12" t="s">
        <v>87</v>
      </c>
      <c r="I37" s="12" t="s">
        <v>88</v>
      </c>
    </row>
    <row r="38" spans="1:26">
      <c r="B38" s="11"/>
      <c r="C38" s="11">
        <v>12.4</v>
      </c>
      <c r="D38" s="11">
        <v>16.100000000000001</v>
      </c>
      <c r="E38" s="11">
        <v>21.6</v>
      </c>
      <c r="F38" s="11">
        <v>27.2</v>
      </c>
      <c r="G38" s="11">
        <v>35.9</v>
      </c>
      <c r="H38" s="11">
        <v>41.8</v>
      </c>
      <c r="I38" s="11">
        <v>52.9</v>
      </c>
    </row>
    <row r="39" spans="1:26">
      <c r="B39" s="2" t="s">
        <v>79</v>
      </c>
      <c r="C39" s="1"/>
      <c r="D39" s="1"/>
      <c r="E39" s="1"/>
      <c r="F39" s="1"/>
      <c r="G39" s="1"/>
      <c r="H39" s="1"/>
      <c r="I39" s="1"/>
    </row>
    <row r="40" spans="1:26">
      <c r="B40" s="2">
        <v>10</v>
      </c>
      <c r="C40" s="2">
        <v>13</v>
      </c>
      <c r="D40" s="2">
        <v>16</v>
      </c>
      <c r="E40" s="2">
        <v>20</v>
      </c>
      <c r="F40" s="2">
        <v>25</v>
      </c>
      <c r="G40" s="2">
        <v>32</v>
      </c>
      <c r="H40" s="1"/>
      <c r="I40" s="1"/>
    </row>
    <row r="41" spans="1:26">
      <c r="A41" s="297" t="s">
        <v>1269</v>
      </c>
    </row>
    <row r="42" spans="1:26">
      <c r="A42" s="297" t="s">
        <v>1268</v>
      </c>
      <c r="I42" s="86" t="s">
        <v>220</v>
      </c>
    </row>
    <row r="43" spans="1:26">
      <c r="A43" s="297" t="s">
        <v>1267</v>
      </c>
    </row>
    <row r="44" spans="1:26">
      <c r="A44" s="297" t="s">
        <v>1266</v>
      </c>
    </row>
    <row r="45" spans="1:26">
      <c r="A45" s="297" t="s">
        <v>1265</v>
      </c>
    </row>
    <row r="46" spans="1:26">
      <c r="A46" s="297" t="s">
        <v>1264</v>
      </c>
    </row>
    <row r="47" spans="1:26">
      <c r="A47" s="297" t="s">
        <v>1263</v>
      </c>
    </row>
    <row r="48" spans="1:26">
      <c r="A48" s="297" t="s">
        <v>1262</v>
      </c>
    </row>
    <row r="49" spans="1:9">
      <c r="A49" s="297" t="s">
        <v>1261</v>
      </c>
    </row>
    <row r="50" spans="1:9">
      <c r="A50" s="86" t="s">
        <v>339</v>
      </c>
    </row>
    <row r="52" spans="1:9">
      <c r="B52" s="1" t="s">
        <v>1260</v>
      </c>
      <c r="C52" s="1"/>
      <c r="D52" s="48" t="s">
        <v>183</v>
      </c>
      <c r="E52" s="1"/>
      <c r="F52" s="1"/>
      <c r="G52" s="1"/>
      <c r="H52" s="1"/>
      <c r="I52" s="1"/>
    </row>
    <row r="53" spans="1:9">
      <c r="B53" s="3">
        <v>0.38</v>
      </c>
      <c r="C53" s="1" t="s">
        <v>1259</v>
      </c>
      <c r="D53" s="1"/>
      <c r="E53" s="1"/>
      <c r="F53" s="1"/>
      <c r="G53" s="1"/>
      <c r="H53" s="1"/>
      <c r="I53" s="1"/>
    </row>
    <row r="54" spans="1:9">
      <c r="B54" s="1" t="s">
        <v>1258</v>
      </c>
      <c r="C54" s="1"/>
      <c r="D54" s="1"/>
      <c r="E54" s="1"/>
      <c r="F54" s="1"/>
      <c r="G54" s="1"/>
      <c r="H54" s="1"/>
      <c r="I54" s="1"/>
    </row>
    <row r="55" spans="1:9">
      <c r="B55" s="1" t="s">
        <v>1257</v>
      </c>
      <c r="C55" s="1"/>
      <c r="D55" s="1"/>
      <c r="E55" s="1"/>
      <c r="F55" s="1"/>
      <c r="G55" s="1"/>
      <c r="H55" s="1"/>
      <c r="I55" s="1"/>
    </row>
    <row r="56" spans="1:9" ht="15.75" thickBot="1">
      <c r="B56" s="3">
        <v>1</v>
      </c>
      <c r="C56" s="1" t="s">
        <v>1256</v>
      </c>
      <c r="D56" s="1"/>
      <c r="E56" s="1"/>
      <c r="F56" s="1"/>
      <c r="G56" s="1"/>
      <c r="H56" s="1"/>
      <c r="I56" s="1"/>
    </row>
    <row r="57" spans="1:9">
      <c r="B57" s="14" t="s">
        <v>40</v>
      </c>
      <c r="C57" s="15"/>
      <c r="D57" s="15"/>
      <c r="E57" s="15"/>
      <c r="F57" s="15"/>
      <c r="G57" s="15"/>
      <c r="H57" s="15" t="s">
        <v>39</v>
      </c>
      <c r="I57" s="16"/>
    </row>
    <row r="58" spans="1:9">
      <c r="B58" s="17" t="s">
        <v>35</v>
      </c>
      <c r="C58" s="1" t="s">
        <v>22</v>
      </c>
      <c r="D58" s="1"/>
      <c r="E58" s="1" t="s">
        <v>34</v>
      </c>
      <c r="F58" s="1" t="s">
        <v>33</v>
      </c>
      <c r="G58" s="1" t="s">
        <v>7</v>
      </c>
      <c r="H58" s="1" t="s">
        <v>32</v>
      </c>
      <c r="I58" s="19" t="s">
        <v>22</v>
      </c>
    </row>
    <row r="59" spans="1:9">
      <c r="B59" s="27" t="s">
        <v>3</v>
      </c>
      <c r="C59" s="47" t="s">
        <v>17</v>
      </c>
      <c r="D59" s="11" t="s">
        <v>13</v>
      </c>
      <c r="E59" s="11" t="s">
        <v>19</v>
      </c>
      <c r="F59" s="47" t="s">
        <v>19</v>
      </c>
      <c r="G59" s="11" t="s">
        <v>3</v>
      </c>
      <c r="H59" s="11" t="s">
        <v>19</v>
      </c>
      <c r="I59" s="29" t="s">
        <v>12</v>
      </c>
    </row>
    <row r="60" spans="1:9" ht="15.75" thickBot="1">
      <c r="A60" s="297" t="s">
        <v>2</v>
      </c>
      <c r="B60" s="35"/>
      <c r="C60" s="36">
        <f>B56</f>
        <v>1</v>
      </c>
      <c r="D60" s="37"/>
      <c r="E60" s="38"/>
      <c r="F60" s="38"/>
      <c r="G60" s="37"/>
      <c r="H60" s="37"/>
      <c r="I60" s="39"/>
    </row>
    <row r="61" spans="1:9">
      <c r="A61" s="154">
        <v>85.71</v>
      </c>
      <c r="B61" s="3">
        <v>10000</v>
      </c>
      <c r="C61" s="1">
        <f t="shared" ref="C61:C70" si="15">A61/3600</f>
        <v>2.3808333333333331E-2</v>
      </c>
      <c r="D61" s="1">
        <f t="shared" ref="D61:D70" si="16">EXP((1+(E61-F61-55)/55*$B$53)*B61/C61/-210000)</f>
        <v>0.2520190168270976</v>
      </c>
      <c r="E61" s="3">
        <v>30</v>
      </c>
      <c r="F61" s="3">
        <v>20</v>
      </c>
      <c r="G61" s="1">
        <f t="shared" ref="G61:G70" si="17">(E61-F61)*C61*(1-D61)*4200</f>
        <v>747.94358412374368</v>
      </c>
      <c r="H61" s="1">
        <f t="shared" ref="H61:H70" si="18">(E61-F61)*D61+F61</f>
        <v>22.520190168270975</v>
      </c>
      <c r="I61" s="1">
        <f t="shared" ref="I61:I70" si="19">B61*0.001*6/C61</f>
        <v>2520.1260063003151</v>
      </c>
    </row>
    <row r="62" spans="1:9">
      <c r="A62" s="154">
        <v>85.71</v>
      </c>
      <c r="B62" s="3">
        <v>2000</v>
      </c>
      <c r="C62" s="1">
        <f t="shared" si="15"/>
        <v>2.3808333333333331E-2</v>
      </c>
      <c r="D62" s="1">
        <f t="shared" si="16"/>
        <v>0.71825857878023847</v>
      </c>
      <c r="E62" s="3">
        <v>50</v>
      </c>
      <c r="F62" s="3">
        <v>20</v>
      </c>
      <c r="G62" s="1">
        <f t="shared" si="17"/>
        <v>845.18200244610159</v>
      </c>
      <c r="H62" s="1">
        <f t="shared" si="18"/>
        <v>41.547757363407158</v>
      </c>
      <c r="I62" s="1">
        <f t="shared" si="19"/>
        <v>504.02520126006306</v>
      </c>
    </row>
    <row r="63" spans="1:9">
      <c r="A63" s="154">
        <v>85.71</v>
      </c>
      <c r="B63" s="3">
        <v>1000</v>
      </c>
      <c r="C63" s="1">
        <f t="shared" si="15"/>
        <v>2.3808333333333331E-2</v>
      </c>
      <c r="D63" s="1">
        <f t="shared" si="16"/>
        <v>0.84750137391053149</v>
      </c>
      <c r="E63" s="3">
        <f t="shared" ref="E63:E70" si="20">E62</f>
        <v>50</v>
      </c>
      <c r="F63" s="3">
        <v>20</v>
      </c>
      <c r="G63" s="1">
        <f t="shared" si="17"/>
        <v>457.47300347449209</v>
      </c>
      <c r="H63" s="1">
        <f t="shared" si="18"/>
        <v>45.425041217315943</v>
      </c>
      <c r="I63" s="1">
        <f t="shared" si="19"/>
        <v>252.01260063003153</v>
      </c>
    </row>
    <row r="64" spans="1:9">
      <c r="A64" s="154">
        <v>85.71</v>
      </c>
      <c r="B64" s="3">
        <v>1000</v>
      </c>
      <c r="C64" s="1">
        <f t="shared" si="15"/>
        <v>2.3808333333333331E-2</v>
      </c>
      <c r="D64" s="1">
        <f t="shared" si="16"/>
        <v>0.84750137391053149</v>
      </c>
      <c r="E64" s="3">
        <f t="shared" si="20"/>
        <v>50</v>
      </c>
      <c r="F64" s="3">
        <v>20</v>
      </c>
      <c r="G64" s="1">
        <f t="shared" si="17"/>
        <v>457.47300347449209</v>
      </c>
      <c r="H64" s="1">
        <f t="shared" si="18"/>
        <v>45.425041217315943</v>
      </c>
      <c r="I64" s="1">
        <f t="shared" si="19"/>
        <v>252.01260063003153</v>
      </c>
    </row>
    <row r="65" spans="1:9">
      <c r="A65" s="154">
        <v>85.71</v>
      </c>
      <c r="B65" s="3">
        <v>1000</v>
      </c>
      <c r="C65" s="1">
        <f t="shared" si="15"/>
        <v>2.3808333333333331E-2</v>
      </c>
      <c r="D65" s="1">
        <f t="shared" si="16"/>
        <v>0.84750137391053149</v>
      </c>
      <c r="E65" s="3">
        <f t="shared" si="20"/>
        <v>50</v>
      </c>
      <c r="F65" s="3">
        <v>20</v>
      </c>
      <c r="G65" s="1">
        <f t="shared" si="17"/>
        <v>457.47300347449209</v>
      </c>
      <c r="H65" s="1">
        <f t="shared" si="18"/>
        <v>45.425041217315943</v>
      </c>
      <c r="I65" s="1">
        <f t="shared" si="19"/>
        <v>252.01260063003153</v>
      </c>
    </row>
    <row r="66" spans="1:9">
      <c r="A66" s="154">
        <v>85.71</v>
      </c>
      <c r="B66" s="3">
        <v>1000</v>
      </c>
      <c r="C66" s="1">
        <f t="shared" si="15"/>
        <v>2.3808333333333331E-2</v>
      </c>
      <c r="D66" s="1">
        <f t="shared" si="16"/>
        <v>0.84750137391053149</v>
      </c>
      <c r="E66" s="3">
        <f t="shared" si="20"/>
        <v>50</v>
      </c>
      <c r="F66" s="3">
        <v>20</v>
      </c>
      <c r="G66" s="1">
        <f t="shared" si="17"/>
        <v>457.47300347449209</v>
      </c>
      <c r="H66" s="1">
        <f t="shared" si="18"/>
        <v>45.425041217315943</v>
      </c>
      <c r="I66" s="1">
        <f t="shared" si="19"/>
        <v>252.01260063003153</v>
      </c>
    </row>
    <row r="67" spans="1:9">
      <c r="A67" s="154">
        <v>85.71</v>
      </c>
      <c r="B67" s="3">
        <v>1000</v>
      </c>
      <c r="C67" s="1">
        <f t="shared" si="15"/>
        <v>2.3808333333333331E-2</v>
      </c>
      <c r="D67" s="1">
        <f t="shared" si="16"/>
        <v>0.84750137391053149</v>
      </c>
      <c r="E67" s="3">
        <f t="shared" si="20"/>
        <v>50</v>
      </c>
      <c r="F67" s="3">
        <v>20</v>
      </c>
      <c r="G67" s="1">
        <f t="shared" si="17"/>
        <v>457.47300347449209</v>
      </c>
      <c r="H67" s="1">
        <f t="shared" si="18"/>
        <v>45.425041217315943</v>
      </c>
      <c r="I67" s="1">
        <f t="shared" si="19"/>
        <v>252.01260063003153</v>
      </c>
    </row>
    <row r="68" spans="1:9">
      <c r="A68" s="154">
        <v>85.71</v>
      </c>
      <c r="B68" s="3">
        <v>1000</v>
      </c>
      <c r="C68" s="1">
        <f t="shared" si="15"/>
        <v>2.3808333333333331E-2</v>
      </c>
      <c r="D68" s="1">
        <f t="shared" si="16"/>
        <v>0.84750137391053149</v>
      </c>
      <c r="E68" s="3">
        <f t="shared" si="20"/>
        <v>50</v>
      </c>
      <c r="F68" s="3">
        <v>20</v>
      </c>
      <c r="G68" s="1">
        <f t="shared" si="17"/>
        <v>457.47300347449209</v>
      </c>
      <c r="H68" s="1">
        <f t="shared" si="18"/>
        <v>45.425041217315943</v>
      </c>
      <c r="I68" s="1">
        <f t="shared" si="19"/>
        <v>252.01260063003153</v>
      </c>
    </row>
    <row r="69" spans="1:9">
      <c r="A69" s="154">
        <v>85.71</v>
      </c>
      <c r="B69" s="3">
        <v>1000</v>
      </c>
      <c r="C69" s="1">
        <f t="shared" si="15"/>
        <v>2.3808333333333331E-2</v>
      </c>
      <c r="D69" s="1">
        <f t="shared" si="16"/>
        <v>0.84750137391053149</v>
      </c>
      <c r="E69" s="3">
        <f t="shared" si="20"/>
        <v>50</v>
      </c>
      <c r="F69" s="3">
        <v>20</v>
      </c>
      <c r="G69" s="1">
        <f t="shared" si="17"/>
        <v>457.47300347449209</v>
      </c>
      <c r="H69" s="1">
        <f t="shared" si="18"/>
        <v>45.425041217315943</v>
      </c>
      <c r="I69" s="1">
        <f t="shared" si="19"/>
        <v>252.01260063003153</v>
      </c>
    </row>
    <row r="70" spans="1:9">
      <c r="A70" s="154">
        <v>85.71</v>
      </c>
      <c r="B70" s="3">
        <v>1000</v>
      </c>
      <c r="C70" s="1">
        <f t="shared" si="15"/>
        <v>2.3808333333333331E-2</v>
      </c>
      <c r="D70" s="1">
        <f t="shared" si="16"/>
        <v>0.84750137391053149</v>
      </c>
      <c r="E70" s="3">
        <f t="shared" si="20"/>
        <v>50</v>
      </c>
      <c r="F70" s="3">
        <v>20</v>
      </c>
      <c r="G70" s="1">
        <f t="shared" si="17"/>
        <v>457.47300347449209</v>
      </c>
      <c r="H70" s="1">
        <f t="shared" si="18"/>
        <v>45.425041217315943</v>
      </c>
      <c r="I70" s="1">
        <f t="shared" si="19"/>
        <v>252.01260063003153</v>
      </c>
    </row>
  </sheetData>
  <conditionalFormatting sqref="B9:B19 Q9:Q19 C9:P9 G10:G19 L10:L19 C19:F19 H19:K19 M19:P19">
    <cfRule type="colorScale" priority="1">
      <colorScale>
        <cfvo type="min" val="0"/>
        <cfvo type="percentile" val="50"/>
        <cfvo type="max" val="0"/>
        <color rgb="FF63BE7B"/>
        <color rgb="FFFFEB84"/>
        <color rgb="FFF8696B"/>
      </colorScale>
    </cfRule>
  </conditionalFormatting>
  <hyperlinks>
    <hyperlink ref="D52" r:id="rId1"/>
    <hyperlink ref="I42" r:id="rId2"/>
    <hyperlink ref="G5" r:id="rId3"/>
    <hyperlink ref="A50" r:id="rId4"/>
    <hyperlink ref="W11" r:id="rId5"/>
    <hyperlink ref="E3" r:id="rId6"/>
  </hyperlinks>
  <pageMargins left="0.7" right="0.7" top="0.78740157499999996" bottom="0.78740157499999996" header="0.3" footer="0.3"/>
  <pageSetup paperSize="9" orientation="portrait" r:id="rId7"/>
  <drawing r:id="rId8"/>
</worksheet>
</file>

<file path=xl/worksheets/sheet4.xml><?xml version="1.0" encoding="utf-8"?>
<worksheet xmlns="http://schemas.openxmlformats.org/spreadsheetml/2006/main" xmlns:r="http://schemas.openxmlformats.org/officeDocument/2006/relationships">
  <dimension ref="A1:Y51"/>
  <sheetViews>
    <sheetView tabSelected="1" workbookViewId="0">
      <selection activeCell="R13" sqref="R1:S13"/>
    </sheetView>
  </sheetViews>
  <sheetFormatPr defaultColWidth="6.140625" defaultRowHeight="15"/>
  <cols>
    <col min="1" max="17" width="6.140625" style="297"/>
    <col min="18" max="18" width="28" style="297" customWidth="1"/>
    <col min="19" max="24" width="7.28515625" style="297" customWidth="1"/>
    <col min="25" max="25" width="7" style="297" bestFit="1" customWidth="1"/>
    <col min="26" max="16384" width="6.140625" style="297"/>
  </cols>
  <sheetData>
    <row r="1" spans="1:25">
      <c r="B1" s="48" t="s">
        <v>1354</v>
      </c>
    </row>
    <row r="2" spans="1:25">
      <c r="A2" s="270" t="s">
        <v>1353</v>
      </c>
      <c r="R2" s="297" t="s">
        <v>1348</v>
      </c>
      <c r="S2" s="154">
        <v>3</v>
      </c>
      <c r="T2" s="154">
        <v>1.8</v>
      </c>
      <c r="U2" s="154">
        <v>1.8</v>
      </c>
      <c r="V2" s="154">
        <v>1.5</v>
      </c>
      <c r="W2" s="154">
        <v>1.5</v>
      </c>
      <c r="X2" s="154">
        <v>1.5</v>
      </c>
      <c r="Y2" s="154">
        <v>1.5</v>
      </c>
    </row>
    <row r="3" spans="1:25">
      <c r="A3" s="297" t="s">
        <v>1019</v>
      </c>
      <c r="E3" s="297" t="s">
        <v>1213</v>
      </c>
      <c r="R3" s="297" t="s">
        <v>1349</v>
      </c>
      <c r="S3" s="154">
        <v>2.9</v>
      </c>
      <c r="T3" s="154">
        <v>1.2</v>
      </c>
      <c r="U3" s="154">
        <v>1.2</v>
      </c>
      <c r="V3" s="154">
        <v>1</v>
      </c>
      <c r="W3" s="154">
        <v>1</v>
      </c>
      <c r="X3" s="154">
        <v>1</v>
      </c>
      <c r="Y3" s="154">
        <v>1</v>
      </c>
    </row>
    <row r="4" spans="1:25">
      <c r="A4" s="297" t="s">
        <v>1021</v>
      </c>
      <c r="C4" s="162">
        <v>50</v>
      </c>
      <c r="E4" s="297" t="s">
        <v>1212</v>
      </c>
      <c r="R4" s="297" t="s">
        <v>1238</v>
      </c>
      <c r="S4" s="154">
        <v>4.0000000000000002E-4</v>
      </c>
      <c r="T4" s="154">
        <v>0.5</v>
      </c>
      <c r="U4" s="154">
        <v>0.25</v>
      </c>
      <c r="V4" s="154">
        <v>0.8</v>
      </c>
      <c r="W4" s="154">
        <v>1</v>
      </c>
      <c r="X4" s="154">
        <v>1.2</v>
      </c>
      <c r="Y4" s="154">
        <v>1.4</v>
      </c>
    </row>
    <row r="5" spans="1:25">
      <c r="A5" s="297" t="s">
        <v>1367</v>
      </c>
      <c r="C5" s="154">
        <v>3.5</v>
      </c>
      <c r="E5" s="297" t="s">
        <v>1214</v>
      </c>
      <c r="R5" s="297" t="s">
        <v>1240</v>
      </c>
      <c r="S5" s="297">
        <f t="shared" ref="S5" si="0">20000*S4</f>
        <v>8</v>
      </c>
      <c r="T5" s="297">
        <f>20000*T4</f>
        <v>10000</v>
      </c>
      <c r="U5" s="297">
        <f t="shared" ref="U5:X5" si="1">20000*U4</f>
        <v>5000</v>
      </c>
      <c r="V5" s="297">
        <f t="shared" si="1"/>
        <v>16000</v>
      </c>
      <c r="W5" s="297">
        <f t="shared" si="1"/>
        <v>20000</v>
      </c>
      <c r="X5" s="297">
        <f t="shared" si="1"/>
        <v>24000</v>
      </c>
      <c r="Y5" s="297">
        <f t="shared" ref="Y5" si="2">20000*Y4</f>
        <v>28000</v>
      </c>
    </row>
    <row r="6" spans="1:25">
      <c r="A6" s="297" t="s">
        <v>1018</v>
      </c>
      <c r="C6" s="154">
        <v>1.8</v>
      </c>
      <c r="E6" s="297" t="s">
        <v>1211</v>
      </c>
      <c r="R6" s="297" t="s">
        <v>1347</v>
      </c>
      <c r="S6" s="354">
        <f t="shared" ref="S6" si="3">S4*(S2+1)*(S3+1)/(S2-S3)</f>
        <v>6.2399999999999942E-2</v>
      </c>
      <c r="T6" s="354">
        <f>T4*(T2+1)*(T3+1)/(T2-T3)</f>
        <v>5.1333333333333329</v>
      </c>
      <c r="U6" s="354">
        <f t="shared" ref="U6:X6" si="4">U4*(U2+1)*(U3+1)/(U2-U3)</f>
        <v>2.5666666666666664</v>
      </c>
      <c r="V6" s="354">
        <f t="shared" si="4"/>
        <v>8</v>
      </c>
      <c r="W6" s="354">
        <f t="shared" si="4"/>
        <v>10</v>
      </c>
      <c r="X6" s="354">
        <f t="shared" si="4"/>
        <v>12</v>
      </c>
      <c r="Y6" s="354">
        <f t="shared" ref="Y6" si="5">Y4*(Y2+1)*(Y3+1)/(Y2-Y3)</f>
        <v>14</v>
      </c>
    </row>
    <row r="7" spans="1:25">
      <c r="A7" s="297" t="s">
        <v>1020</v>
      </c>
      <c r="C7" s="154">
        <v>-1</v>
      </c>
      <c r="D7" s="270">
        <f>C6+E11-(C$5/(C$5)*(C$6+1)-1)</f>
        <v>1.177777777777778</v>
      </c>
      <c r="E7" s="270" t="s">
        <v>1345</v>
      </c>
      <c r="K7" s="297">
        <f>C6-D7</f>
        <v>0.62222222222222201</v>
      </c>
      <c r="R7" s="297" t="s">
        <v>1351</v>
      </c>
      <c r="S7" s="297">
        <f t="shared" ref="S7" si="6">S6/(1+S2)</f>
        <v>1.5599999999999985E-2</v>
      </c>
      <c r="T7" s="297">
        <f>T6/(1+T2)</f>
        <v>1.8333333333333333</v>
      </c>
      <c r="U7" s="297">
        <f t="shared" ref="U7:X7" si="7">U6/(1+U2)</f>
        <v>0.91666666666666663</v>
      </c>
      <c r="V7" s="297">
        <f t="shared" si="7"/>
        <v>3.2</v>
      </c>
      <c r="W7" s="297">
        <f t="shared" si="7"/>
        <v>4</v>
      </c>
      <c r="X7" s="297">
        <f t="shared" si="7"/>
        <v>4.8</v>
      </c>
      <c r="Y7" s="297">
        <f t="shared" ref="Y7" si="8">Y6/(1+Y2)</f>
        <v>5.6</v>
      </c>
    </row>
    <row r="8" spans="1:25">
      <c r="A8" s="297" t="s">
        <v>1022</v>
      </c>
      <c r="C8" s="298">
        <f>-(B11-C11-1)*C4</f>
        <v>-8.1142360843799999E-2</v>
      </c>
      <c r="D8" s="298"/>
      <c r="R8" s="297" t="s">
        <v>1350</v>
      </c>
      <c r="S8" s="297">
        <f t="shared" ref="S8" si="9">S6/(1+S3)</f>
        <v>1.5999999999999986E-2</v>
      </c>
      <c r="T8" s="297">
        <f>T6/(1+T3)</f>
        <v>2.333333333333333</v>
      </c>
      <c r="U8" s="297">
        <f t="shared" ref="U8:X8" si="10">U6/(1+U3)</f>
        <v>1.1666666666666665</v>
      </c>
      <c r="V8" s="297">
        <f t="shared" si="10"/>
        <v>4</v>
      </c>
      <c r="W8" s="297">
        <f t="shared" si="10"/>
        <v>5</v>
      </c>
      <c r="X8" s="297">
        <f t="shared" si="10"/>
        <v>6</v>
      </c>
      <c r="Y8" s="297">
        <f t="shared" ref="Y8" si="11">Y6/(1+Y3)</f>
        <v>7</v>
      </c>
    </row>
    <row r="9" spans="1:25">
      <c r="A9" s="298"/>
      <c r="B9" s="298" t="s">
        <v>1023</v>
      </c>
      <c r="C9" s="298" t="s">
        <v>1024</v>
      </c>
      <c r="E9" s="298"/>
      <c r="R9" s="297" t="s">
        <v>1352</v>
      </c>
      <c r="S9" s="297">
        <f t="shared" ref="S9" si="12">S8-S7</f>
        <v>4.0000000000000105E-4</v>
      </c>
      <c r="T9" s="297">
        <f>T8-T7</f>
        <v>0.49999999999999978</v>
      </c>
      <c r="U9" s="297">
        <f t="shared" ref="U9:X9" si="13">U8-U7</f>
        <v>0.24999999999999989</v>
      </c>
      <c r="V9" s="297">
        <f t="shared" si="13"/>
        <v>0.79999999999999982</v>
      </c>
      <c r="W9" s="297">
        <f t="shared" si="13"/>
        <v>1</v>
      </c>
      <c r="X9" s="297">
        <f t="shared" si="13"/>
        <v>1.2000000000000002</v>
      </c>
      <c r="Y9" s="297">
        <f t="shared" ref="Y9" si="14">Y8-Y7</f>
        <v>1.4000000000000004</v>
      </c>
    </row>
    <row r="10" spans="1:25">
      <c r="A10" s="299" t="s">
        <v>1017</v>
      </c>
      <c r="B10" s="298" t="s">
        <v>1016</v>
      </c>
      <c r="C10" s="298"/>
      <c r="D10" s="145" t="s">
        <v>1015</v>
      </c>
      <c r="E10" s="145" t="s">
        <v>1014</v>
      </c>
    </row>
    <row r="11" spans="1:25">
      <c r="A11" s="298">
        <v>20</v>
      </c>
      <c r="B11" s="298">
        <f t="shared" ref="B11:B18" si="15">1000/B23</f>
        <v>1.0016588472168759</v>
      </c>
      <c r="C11" s="298">
        <v>3.6000000000000001E-5</v>
      </c>
      <c r="D11" s="145">
        <f t="shared" ref="D11:D18" si="16">(B11-C11-1)*C$4+C$8+C$7</f>
        <v>-1</v>
      </c>
      <c r="E11" s="145">
        <f t="shared" ref="E11:E18" si="17">C$5/(C$5-D11)*(C$6+1)-1</f>
        <v>1.1777777777777776</v>
      </c>
      <c r="R11" s="297" t="s">
        <v>1346</v>
      </c>
    </row>
    <row r="12" spans="1:25">
      <c r="A12" s="298">
        <v>30</v>
      </c>
      <c r="B12" s="298">
        <f t="shared" si="15"/>
        <v>1.0042456493316796</v>
      </c>
      <c r="C12" s="298">
        <v>7.2000000000000002E-5</v>
      </c>
      <c r="D12" s="145">
        <f t="shared" si="16"/>
        <v>-0.87245989425982406</v>
      </c>
      <c r="E12" s="145">
        <f t="shared" si="17"/>
        <v>1.2413012896620188</v>
      </c>
      <c r="R12" s="297" t="s">
        <v>1383</v>
      </c>
    </row>
    <row r="13" spans="1:25">
      <c r="A13" s="298">
        <v>40</v>
      </c>
      <c r="B13" s="298">
        <f t="shared" si="15"/>
        <v>1.00775000060465</v>
      </c>
      <c r="C13" s="298">
        <v>1.08E-4</v>
      </c>
      <c r="D13" s="145">
        <f t="shared" si="16"/>
        <v>-0.69904233061129828</v>
      </c>
      <c r="E13" s="145">
        <f t="shared" si="17"/>
        <v>1.3338654932238585</v>
      </c>
      <c r="R13" s="297" t="s">
        <v>1255</v>
      </c>
    </row>
    <row r="14" spans="1:25">
      <c r="A14" s="298">
        <v>50</v>
      </c>
      <c r="B14" s="298">
        <f t="shared" si="15"/>
        <v>1.0120550942552211</v>
      </c>
      <c r="C14" s="298">
        <v>1.44E-4</v>
      </c>
      <c r="D14" s="145">
        <f t="shared" si="16"/>
        <v>-0.48558764808274058</v>
      </c>
      <c r="E14" s="145">
        <f t="shared" si="17"/>
        <v>1.4588594870606526</v>
      </c>
    </row>
    <row r="15" spans="1:25">
      <c r="A15" s="298">
        <v>60</v>
      </c>
      <c r="B15" s="298">
        <f t="shared" si="15"/>
        <v>1.017087062652563</v>
      </c>
      <c r="C15" s="298">
        <v>1.8000000000000001E-4</v>
      </c>
      <c r="D15" s="145">
        <f t="shared" si="16"/>
        <v>-0.23578922821565396</v>
      </c>
      <c r="E15" s="145">
        <f t="shared" si="17"/>
        <v>1.6232743341039155</v>
      </c>
    </row>
    <row r="16" spans="1:25">
      <c r="A16" s="298">
        <v>70</v>
      </c>
      <c r="B16" s="298">
        <f t="shared" si="15"/>
        <v>1.0227951375091808</v>
      </c>
      <c r="C16" s="298">
        <v>2.1599999999999999E-4</v>
      </c>
      <c r="D16" s="145">
        <f t="shared" si="16"/>
        <v>4.7814514615241777E-2</v>
      </c>
      <c r="E16" s="145">
        <f t="shared" si="17"/>
        <v>1.8387814158565572</v>
      </c>
      <c r="R16" s="297" t="s">
        <v>1361</v>
      </c>
    </row>
    <row r="17" spans="1:23">
      <c r="A17" s="298">
        <v>80</v>
      </c>
      <c r="B17" s="298">
        <f t="shared" si="15"/>
        <v>1.0291437030401729</v>
      </c>
      <c r="C17" s="298">
        <v>2.52E-4</v>
      </c>
      <c r="D17" s="145">
        <f t="shared" si="16"/>
        <v>0.36344279116484834</v>
      </c>
      <c r="E17" s="145">
        <f t="shared" si="17"/>
        <v>2.1244448443009598</v>
      </c>
      <c r="R17" s="297" t="s">
        <v>1366</v>
      </c>
    </row>
    <row r="18" spans="1:23">
      <c r="A18" s="298">
        <v>90</v>
      </c>
      <c r="B18" s="298">
        <f t="shared" si="15"/>
        <v>1.0361099872195834</v>
      </c>
      <c r="C18" s="298">
        <v>2.8800000000000001E-4</v>
      </c>
      <c r="D18" s="145">
        <f t="shared" si="16"/>
        <v>0.70995700013536478</v>
      </c>
      <c r="E18" s="145">
        <f t="shared" si="17"/>
        <v>2.5124906678769703</v>
      </c>
      <c r="S18" s="297" t="s">
        <v>1236</v>
      </c>
      <c r="T18" s="297" t="s">
        <v>1235</v>
      </c>
    </row>
    <row r="19" spans="1:23">
      <c r="A19" s="298">
        <v>100</v>
      </c>
      <c r="B19" s="298"/>
      <c r="C19" s="298">
        <v>3.2400000000000001E-4</v>
      </c>
      <c r="D19" s="298"/>
      <c r="E19" s="298"/>
      <c r="S19" s="297">
        <v>3</v>
      </c>
      <c r="T19" s="297">
        <v>0</v>
      </c>
    </row>
    <row r="20" spans="1:23">
      <c r="A20" s="298"/>
      <c r="B20" s="298"/>
      <c r="C20" s="298"/>
      <c r="D20" s="298"/>
      <c r="E20" s="298"/>
      <c r="S20" s="297">
        <v>2.9</v>
      </c>
      <c r="T20" s="297">
        <f>8/20000</f>
        <v>4.0000000000000002E-4</v>
      </c>
      <c r="U20" s="297">
        <f>T20*(S19+1)*(S20+1)/(S19-S20)</f>
        <v>6.2399999999999942E-2</v>
      </c>
      <c r="V20" s="297" t="s">
        <v>1362</v>
      </c>
    </row>
    <row r="21" spans="1:23">
      <c r="T21" s="297">
        <v>20000</v>
      </c>
    </row>
    <row r="22" spans="1:23">
      <c r="A22" s="211" t="s">
        <v>1017</v>
      </c>
      <c r="B22" s="297" t="s">
        <v>474</v>
      </c>
      <c r="T22" s="297">
        <f>T20*T21</f>
        <v>8</v>
      </c>
      <c r="W22" s="297" t="s">
        <v>1365</v>
      </c>
    </row>
    <row r="23" spans="1:23">
      <c r="A23" s="297">
        <v>20</v>
      </c>
      <c r="B23" s="297">
        <v>998.34389999999996</v>
      </c>
      <c r="C23" s="297">
        <f>B$23/B23</f>
        <v>1</v>
      </c>
      <c r="W23" s="297">
        <f>U20/U25</f>
        <v>7.6035397401928899E-3</v>
      </c>
    </row>
    <row r="24" spans="1:23">
      <c r="A24" s="297">
        <v>30</v>
      </c>
      <c r="B24" s="297">
        <v>995.77229999999997</v>
      </c>
      <c r="C24" s="297">
        <f t="shared" ref="C24:C30" si="18">B$23/B24</f>
        <v>1.0025825181118213</v>
      </c>
      <c r="S24" s="297" t="s">
        <v>1363</v>
      </c>
      <c r="U24" s="297" t="s">
        <v>1364</v>
      </c>
    </row>
    <row r="25" spans="1:23">
      <c r="A25" s="297">
        <v>40</v>
      </c>
      <c r="B25" s="297">
        <v>992.30960000000005</v>
      </c>
      <c r="C25" s="297">
        <f t="shared" si="18"/>
        <v>1.0060810658286485</v>
      </c>
      <c r="S25" s="297">
        <v>60</v>
      </c>
      <c r="T25" s="297">
        <v>13.2</v>
      </c>
      <c r="U25" s="297">
        <f>T25*T25*3.14/4*S25/1000</f>
        <v>8.2067039999999984</v>
      </c>
    </row>
    <row r="26" spans="1:23">
      <c r="A26" s="297">
        <v>50</v>
      </c>
      <c r="B26" s="297">
        <v>988.08849999999995</v>
      </c>
      <c r="C26" s="297">
        <f t="shared" si="18"/>
        <v>1.010379029813625</v>
      </c>
    </row>
    <row r="27" spans="1:23">
      <c r="A27" s="297">
        <v>60</v>
      </c>
      <c r="B27" s="297">
        <v>983.2</v>
      </c>
      <c r="C27" s="297">
        <f t="shared" si="18"/>
        <v>1.015402664768104</v>
      </c>
    </row>
    <row r="28" spans="1:23">
      <c r="A28" s="297">
        <v>70</v>
      </c>
      <c r="B28" s="297">
        <v>977.71289999999999</v>
      </c>
      <c r="C28" s="297">
        <f t="shared" si="18"/>
        <v>1.021101286481952</v>
      </c>
    </row>
    <row r="29" spans="1:23">
      <c r="A29" s="297">
        <v>80</v>
      </c>
      <c r="B29" s="297">
        <v>971.6816</v>
      </c>
      <c r="C29" s="297">
        <f t="shared" si="18"/>
        <v>1.027439338153568</v>
      </c>
    </row>
    <row r="30" spans="1:23">
      <c r="A30" s="297">
        <v>90</v>
      </c>
      <c r="B30" s="297">
        <v>965.14850000000001</v>
      </c>
      <c r="C30" s="297">
        <f t="shared" si="18"/>
        <v>1.0343940854697489</v>
      </c>
    </row>
    <row r="32" spans="1:23">
      <c r="A32" s="48" t="s">
        <v>597</v>
      </c>
    </row>
    <row r="34" spans="1:8">
      <c r="B34" s="297" t="s">
        <v>1237</v>
      </c>
    </row>
    <row r="35" spans="1:8">
      <c r="B35" s="297" t="s">
        <v>1236</v>
      </c>
      <c r="C35" s="297" t="s">
        <v>1235</v>
      </c>
      <c r="D35" s="297" t="s">
        <v>1234</v>
      </c>
    </row>
    <row r="36" spans="1:8">
      <c r="A36" s="297" t="s">
        <v>1233</v>
      </c>
      <c r="B36" s="297">
        <v>0.6</v>
      </c>
      <c r="C36" s="297">
        <v>0</v>
      </c>
    </row>
    <row r="37" spans="1:8">
      <c r="A37" s="297" t="s">
        <v>1232</v>
      </c>
      <c r="B37" s="297">
        <v>0.8</v>
      </c>
      <c r="C37" s="297">
        <v>-0.2</v>
      </c>
      <c r="D37" s="297">
        <f>C37*(B36+1)*(B37+1)/(B36-B37)</f>
        <v>2.88</v>
      </c>
      <c r="G37" s="297" t="s">
        <v>1235</v>
      </c>
      <c r="H37" s="297" t="s">
        <v>37</v>
      </c>
    </row>
    <row r="38" spans="1:8">
      <c r="G38" s="297">
        <v>0</v>
      </c>
      <c r="H38" s="297">
        <v>0.2</v>
      </c>
    </row>
    <row r="39" spans="1:8">
      <c r="G39" s="297">
        <v>0.05</v>
      </c>
      <c r="H39" s="297">
        <v>0.4</v>
      </c>
    </row>
    <row r="40" spans="1:8">
      <c r="B40" s="297" t="s">
        <v>1237</v>
      </c>
      <c r="G40" s="297">
        <v>0.15</v>
      </c>
      <c r="H40" s="297">
        <v>0.6</v>
      </c>
    </row>
    <row r="41" spans="1:8">
      <c r="B41" s="297" t="s">
        <v>1236</v>
      </c>
      <c r="C41" s="297" t="s">
        <v>1235</v>
      </c>
      <c r="D41" s="297" t="s">
        <v>1234</v>
      </c>
      <c r="G41" s="297">
        <v>0.35</v>
      </c>
      <c r="H41" s="297">
        <v>0.8</v>
      </c>
    </row>
    <row r="42" spans="1:8">
      <c r="A42" s="297" t="s">
        <v>1233</v>
      </c>
      <c r="B42" s="297">
        <v>0.8</v>
      </c>
      <c r="C42" s="297">
        <v>0</v>
      </c>
      <c r="G42" s="297">
        <v>0.95</v>
      </c>
      <c r="H42" s="297">
        <v>1</v>
      </c>
    </row>
    <row r="43" spans="1:8">
      <c r="A43" s="297" t="s">
        <v>1232</v>
      </c>
      <c r="B43" s="297">
        <v>1</v>
      </c>
      <c r="C43" s="297">
        <v>-0.6</v>
      </c>
      <c r="D43" s="297">
        <f>C43*(B42+1)*(B43+1)/(B42-B43)</f>
        <v>10.800000000000002</v>
      </c>
    </row>
    <row r="45" spans="1:8">
      <c r="A45" s="297" t="s">
        <v>1231</v>
      </c>
    </row>
    <row r="46" spans="1:8">
      <c r="A46" s="297" t="s">
        <v>1230</v>
      </c>
    </row>
    <row r="47" spans="1:8">
      <c r="A47" s="297" t="s">
        <v>1229</v>
      </c>
    </row>
    <row r="48" spans="1:8">
      <c r="A48" s="297" t="s">
        <v>1228</v>
      </c>
    </row>
    <row r="49" spans="1:1">
      <c r="A49" s="297" t="s">
        <v>1227</v>
      </c>
    </row>
    <row r="50" spans="1:1">
      <c r="A50" s="297" t="s">
        <v>1226</v>
      </c>
    </row>
    <row r="51" spans="1:1">
      <c r="A51" s="297" t="s">
        <v>1225</v>
      </c>
    </row>
  </sheetData>
  <hyperlinks>
    <hyperlink ref="B1" r:id="rId1"/>
  </hyperlinks>
  <pageMargins left="0.7" right="0.7" top="0.78740157499999996" bottom="0.78740157499999996"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dimension ref="A1:CV347"/>
  <sheetViews>
    <sheetView topLeftCell="A65" workbookViewId="0">
      <selection activeCell="B69" sqref="B69"/>
    </sheetView>
  </sheetViews>
  <sheetFormatPr defaultColWidth="4.28515625" defaultRowHeight="15"/>
  <cols>
    <col min="1" max="1" width="9" style="190" customWidth="1"/>
    <col min="2" max="4" width="5.140625" style="190" customWidth="1"/>
    <col min="5" max="5" width="6.140625" style="190" customWidth="1"/>
    <col min="6" max="39" width="5.140625" style="190" customWidth="1"/>
    <col min="40" max="40" width="8" style="190" bestFit="1" customWidth="1"/>
    <col min="41" max="41" width="6" style="190" bestFit="1" customWidth="1"/>
    <col min="42" max="42" width="8" style="190" bestFit="1" customWidth="1"/>
    <col min="43" max="16384" width="4.28515625" style="190"/>
  </cols>
  <sheetData>
    <row r="1" spans="1:94">
      <c r="A1" s="154">
        <v>20</v>
      </c>
      <c r="B1" s="190" t="s">
        <v>33</v>
      </c>
      <c r="C1" s="86"/>
      <c r="P1" s="71">
        <f>10*(P8-P7)</f>
        <v>77.014513078743292</v>
      </c>
      <c r="Q1" s="71" t="s">
        <v>266</v>
      </c>
      <c r="S1" s="71">
        <f>10*(S8-S7)</f>
        <v>66.915819452517837</v>
      </c>
      <c r="T1" s="71" t="s">
        <v>266</v>
      </c>
      <c r="V1" s="190" t="s">
        <v>645</v>
      </c>
      <c r="Y1" s="86" t="s">
        <v>644</v>
      </c>
    </row>
    <row r="2" spans="1:94">
      <c r="A2" s="154">
        <v>40</v>
      </c>
      <c r="B2" s="190" t="s">
        <v>643</v>
      </c>
      <c r="P2" s="190">
        <f>P4+P5</f>
        <v>11.551682856667597</v>
      </c>
      <c r="Q2" s="190">
        <f>P5+P4-P3</f>
        <v>-4.9410514389691684E-4</v>
      </c>
      <c r="S2" s="190">
        <f>S4+S5</f>
        <v>13.378044692249048</v>
      </c>
      <c r="T2" s="190">
        <f>S5+S4-S3</f>
        <v>-5.1191982545191195E-3</v>
      </c>
      <c r="V2" s="190">
        <v>83</v>
      </c>
      <c r="X2" s="190">
        <v>71</v>
      </c>
      <c r="Z2" s="190" t="s">
        <v>642</v>
      </c>
      <c r="BB2" s="243"/>
      <c r="BC2" s="243"/>
      <c r="BD2" s="243"/>
      <c r="BE2" s="243"/>
      <c r="BF2" s="243"/>
      <c r="BG2" s="243"/>
      <c r="BH2" s="243"/>
      <c r="BI2" s="243"/>
      <c r="BJ2" s="243"/>
      <c r="BK2" s="243"/>
      <c r="BL2" s="243"/>
      <c r="BM2" s="243"/>
      <c r="BN2" s="243"/>
    </row>
    <row r="3" spans="1:94">
      <c r="A3" s="154">
        <v>30</v>
      </c>
      <c r="B3" s="190" t="s">
        <v>641</v>
      </c>
      <c r="P3" s="71">
        <f>P1*0.15</f>
        <v>11.552176961811494</v>
      </c>
      <c r="Q3" s="71" t="s">
        <v>616</v>
      </c>
      <c r="S3" s="71">
        <f>S1*0.2</f>
        <v>13.383163890503567</v>
      </c>
      <c r="T3" s="71" t="s">
        <v>616</v>
      </c>
      <c r="V3" s="190">
        <f>P1</f>
        <v>77.014513078743292</v>
      </c>
      <c r="X3" s="190">
        <f>S1</f>
        <v>66.915819452517837</v>
      </c>
      <c r="Z3" s="190" t="s">
        <v>640</v>
      </c>
      <c r="BB3" s="243"/>
      <c r="BC3" s="243"/>
      <c r="BD3" s="243"/>
      <c r="BE3" s="243"/>
      <c r="BF3" s="243"/>
      <c r="BG3" s="243"/>
      <c r="BH3" s="243"/>
      <c r="BI3" s="243"/>
      <c r="BJ3" s="243"/>
      <c r="BK3" s="243"/>
      <c r="BL3" s="243"/>
      <c r="BM3" s="243"/>
      <c r="BN3" s="243"/>
    </row>
    <row r="4" spans="1:94">
      <c r="A4" s="190" t="s">
        <v>639</v>
      </c>
      <c r="P4" s="71">
        <f>(A13+A13+A13-A12-B13-B14)</f>
        <v>9.4958290282996671</v>
      </c>
      <c r="Q4" s="71" t="s">
        <v>615</v>
      </c>
      <c r="S4" s="71">
        <f>(U13+U13+U13-U12-V13-V14)</f>
        <v>9.9451503856751842</v>
      </c>
      <c r="T4" s="71" t="s">
        <v>615</v>
      </c>
      <c r="V4" s="190">
        <f>V2/V3</f>
        <v>1.0777189477928253</v>
      </c>
      <c r="X4" s="190">
        <f>X2/X3</f>
        <v>1.0610346040876062</v>
      </c>
      <c r="Z4" s="190" t="s">
        <v>638</v>
      </c>
      <c r="BB4" s="243"/>
      <c r="BC4" s="243"/>
      <c r="BD4" s="243"/>
      <c r="BE4" s="243"/>
      <c r="BF4" s="243"/>
      <c r="BG4" s="243"/>
      <c r="BH4" s="243"/>
      <c r="BI4" s="243"/>
      <c r="BJ4" s="243"/>
      <c r="BK4" s="243"/>
      <c r="BL4" s="243"/>
      <c r="BM4" s="243"/>
      <c r="BN4" s="243"/>
    </row>
    <row r="5" spans="1:94">
      <c r="A5" s="190" t="s">
        <v>637</v>
      </c>
      <c r="P5" s="71">
        <f>(O13+O13+O13-N14-N13-O12)</f>
        <v>2.0558538283679297</v>
      </c>
      <c r="Q5" s="71" t="s">
        <v>614</v>
      </c>
      <c r="S5" s="71">
        <f>(AN13+AN13+AN13-AM14-AM13-AN12)</f>
        <v>3.4328943065738642</v>
      </c>
      <c r="T5" s="71" t="s">
        <v>614</v>
      </c>
      <c r="U5" s="190" t="s">
        <v>636</v>
      </c>
      <c r="BB5" s="243"/>
      <c r="BC5" s="243"/>
      <c r="BD5" s="243"/>
      <c r="BE5" s="243"/>
      <c r="BF5" s="243"/>
      <c r="BG5" s="243"/>
      <c r="BH5" s="243"/>
      <c r="BI5" s="243"/>
      <c r="BJ5" s="243"/>
      <c r="BK5" s="243"/>
      <c r="BL5" s="243"/>
      <c r="BM5" s="243"/>
      <c r="BN5" s="243"/>
    </row>
    <row r="6" spans="1:94">
      <c r="A6" s="190" t="s">
        <v>635</v>
      </c>
      <c r="P6" s="92" t="s">
        <v>19</v>
      </c>
      <c r="S6" s="92" t="s">
        <v>19</v>
      </c>
      <c r="U6" s="190" t="s">
        <v>634</v>
      </c>
      <c r="AW6" s="190">
        <f>BG8-BG9-BG10</f>
        <v>-0.38505609522225304</v>
      </c>
      <c r="AZ6" s="190">
        <f>BJ8-BJ9-BJ10</f>
        <v>-0.44593482307496779</v>
      </c>
      <c r="BE6" s="190" t="s">
        <v>619</v>
      </c>
      <c r="BF6" s="190">
        <v>1</v>
      </c>
      <c r="BG6" s="190">
        <v>0.38505609522225348</v>
      </c>
      <c r="BJ6" s="190">
        <v>0.44593482307496801</v>
      </c>
      <c r="BM6" s="190" t="s">
        <v>626</v>
      </c>
    </row>
    <row r="7" spans="1:94">
      <c r="A7" s="190">
        <f t="shared" ref="A7:O7" si="0">$A$1+A18*($A$2-$A$1)+A29*($A$3-$A$1)</f>
        <v>20</v>
      </c>
      <c r="B7" s="190">
        <f t="shared" si="0"/>
        <v>20</v>
      </c>
      <c r="C7" s="190">
        <f t="shared" si="0"/>
        <v>20</v>
      </c>
      <c r="D7" s="190">
        <f t="shared" si="0"/>
        <v>20</v>
      </c>
      <c r="E7" s="190">
        <f t="shared" si="0"/>
        <v>20</v>
      </c>
      <c r="F7" s="190">
        <f t="shared" si="0"/>
        <v>20</v>
      </c>
      <c r="G7" s="190">
        <f t="shared" si="0"/>
        <v>20</v>
      </c>
      <c r="H7" s="190">
        <f t="shared" si="0"/>
        <v>20</v>
      </c>
      <c r="I7" s="190">
        <f t="shared" si="0"/>
        <v>20</v>
      </c>
      <c r="J7" s="190">
        <f t="shared" si="0"/>
        <v>20</v>
      </c>
      <c r="K7" s="190">
        <f t="shared" si="0"/>
        <v>20</v>
      </c>
      <c r="L7" s="190">
        <f t="shared" si="0"/>
        <v>20</v>
      </c>
      <c r="M7" s="190">
        <f t="shared" si="0"/>
        <v>20</v>
      </c>
      <c r="N7" s="190">
        <f t="shared" si="0"/>
        <v>20</v>
      </c>
      <c r="O7" s="190">
        <f t="shared" si="0"/>
        <v>20</v>
      </c>
      <c r="P7" s="243">
        <f t="shared" ref="P7:P14" si="1">SUM(A7:O7)/15</f>
        <v>20</v>
      </c>
      <c r="Q7" s="92" t="s">
        <v>633</v>
      </c>
      <c r="R7" s="92"/>
      <c r="S7" s="190">
        <f>SUM(Z7:AN7)/15</f>
        <v>20</v>
      </c>
      <c r="T7" s="92" t="s">
        <v>633</v>
      </c>
      <c r="U7" s="190">
        <f t="shared" ref="U7:AN7" si="2">$A$1+U18*($A$2-$A$1)+U29*($A$3-$A$1)</f>
        <v>20</v>
      </c>
      <c r="V7" s="190">
        <f t="shared" si="2"/>
        <v>20</v>
      </c>
      <c r="W7" s="190">
        <f t="shared" si="2"/>
        <v>20</v>
      </c>
      <c r="X7" s="190">
        <f t="shared" si="2"/>
        <v>20</v>
      </c>
      <c r="Y7" s="190">
        <f t="shared" si="2"/>
        <v>20</v>
      </c>
      <c r="Z7" s="190">
        <f t="shared" si="2"/>
        <v>20</v>
      </c>
      <c r="AA7" s="190">
        <f t="shared" si="2"/>
        <v>20</v>
      </c>
      <c r="AB7" s="190">
        <f t="shared" si="2"/>
        <v>20</v>
      </c>
      <c r="AC7" s="190">
        <f t="shared" si="2"/>
        <v>20</v>
      </c>
      <c r="AD7" s="190">
        <f t="shared" si="2"/>
        <v>20</v>
      </c>
      <c r="AE7" s="190">
        <f t="shared" si="2"/>
        <v>20</v>
      </c>
      <c r="AF7" s="190">
        <f t="shared" si="2"/>
        <v>20</v>
      </c>
      <c r="AG7" s="190">
        <f t="shared" si="2"/>
        <v>20</v>
      </c>
      <c r="AH7" s="190">
        <f t="shared" si="2"/>
        <v>20</v>
      </c>
      <c r="AI7" s="190">
        <f t="shared" si="2"/>
        <v>20</v>
      </c>
      <c r="AJ7" s="190">
        <f t="shared" si="2"/>
        <v>20</v>
      </c>
      <c r="AK7" s="190">
        <f t="shared" si="2"/>
        <v>20</v>
      </c>
      <c r="AL7" s="190">
        <f t="shared" si="2"/>
        <v>20</v>
      </c>
      <c r="AM7" s="190">
        <f t="shared" si="2"/>
        <v>20</v>
      </c>
      <c r="AN7" s="190">
        <f t="shared" si="2"/>
        <v>20</v>
      </c>
      <c r="AO7" s="190" t="s">
        <v>632</v>
      </c>
      <c r="AS7" s="190" t="s">
        <v>625</v>
      </c>
      <c r="BE7" s="190" t="s">
        <v>617</v>
      </c>
      <c r="BF7" s="190">
        <v>1</v>
      </c>
      <c r="BG7" s="190">
        <v>0.38505609522225359</v>
      </c>
      <c r="BJ7" s="190">
        <v>0.44593482307496812</v>
      </c>
      <c r="BM7" s="190" t="s">
        <v>614</v>
      </c>
    </row>
    <row r="8" spans="1:94">
      <c r="A8" s="190">
        <f t="shared" ref="A8:O8" si="3">$A$1+A19*($A$2-$A$1)+A30*($A$3-$A$1)</f>
        <v>29.75942634280231</v>
      </c>
      <c r="B8" s="190">
        <f t="shared" si="3"/>
        <v>29.586372062250735</v>
      </c>
      <c r="C8" s="190">
        <f t="shared" si="3"/>
        <v>29.278656400483275</v>
      </c>
      <c r="D8" s="190">
        <f t="shared" si="3"/>
        <v>28.889412414532902</v>
      </c>
      <c r="E8" s="190">
        <f t="shared" si="3"/>
        <v>28.467969759722635</v>
      </c>
      <c r="F8" s="190">
        <f t="shared" si="3"/>
        <v>28.052263975049517</v>
      </c>
      <c r="G8" s="190">
        <f t="shared" si="3"/>
        <v>27.668188419214637</v>
      </c>
      <c r="H8" s="190">
        <f t="shared" si="3"/>
        <v>27.33168067542687</v>
      </c>
      <c r="I8" s="190">
        <f t="shared" si="3"/>
        <v>27.05121317764447</v>
      </c>
      <c r="J8" s="190">
        <f t="shared" si="3"/>
        <v>26.82975996625316</v>
      </c>
      <c r="K8" s="190">
        <f t="shared" si="3"/>
        <v>26.666022824814146</v>
      </c>
      <c r="L8" s="190">
        <f t="shared" si="3"/>
        <v>26.555022366768306</v>
      </c>
      <c r="M8" s="190">
        <f t="shared" si="3"/>
        <v>26.488377163169947</v>
      </c>
      <c r="N8" s="190">
        <f t="shared" si="3"/>
        <v>26.454896062810228</v>
      </c>
      <c r="O8" s="190">
        <f t="shared" si="3"/>
        <v>26.442508007171774</v>
      </c>
      <c r="P8" s="190">
        <f t="shared" si="1"/>
        <v>27.701451307874329</v>
      </c>
      <c r="Q8" s="190">
        <f t="shared" ref="Q8:Q14" si="4">(P8-P$7)/P$1*100</f>
        <v>10</v>
      </c>
      <c r="S8" s="190">
        <f t="shared" ref="S8:S14" si="5">SUM(U8:AN8)/20</f>
        <v>26.691581945251784</v>
      </c>
      <c r="T8" s="190">
        <f t="shared" ref="T8:T14" si="6">(S8-S$7)/S$1*100</f>
        <v>10</v>
      </c>
      <c r="U8" s="190">
        <f t="shared" ref="U8:AN8" si="7">$A$1+U19*($A$2-$A$1)+U30*($A$3-$A$1)</f>
        <v>29.499039675404703</v>
      </c>
      <c r="V8" s="190">
        <f t="shared" si="7"/>
        <v>29.309517194109297</v>
      </c>
      <c r="W8" s="190">
        <f t="shared" si="7"/>
        <v>28.970626603194155</v>
      </c>
      <c r="X8" s="190">
        <f t="shared" si="7"/>
        <v>28.537944232689004</v>
      </c>
      <c r="Y8" s="190">
        <f t="shared" si="7"/>
        <v>28.063092267174213</v>
      </c>
      <c r="Z8" s="190">
        <f t="shared" si="7"/>
        <v>27.585847026091788</v>
      </c>
      <c r="AA8" s="190">
        <f t="shared" si="7"/>
        <v>27.133551805932274</v>
      </c>
      <c r="AB8" s="190">
        <f t="shared" si="7"/>
        <v>26.723448133370926</v>
      </c>
      <c r="AC8" s="190">
        <f t="shared" si="7"/>
        <v>26.365507182367114</v>
      </c>
      <c r="AD8" s="190">
        <f t="shared" si="7"/>
        <v>26.064809456020715</v>
      </c>
      <c r="AE8" s="190">
        <f t="shared" si="7"/>
        <v>25.823246446289684</v>
      </c>
      <c r="AF8" s="190">
        <f t="shared" si="7"/>
        <v>25.640588946598054</v>
      </c>
      <c r="AG8" s="190">
        <f t="shared" si="7"/>
        <v>25.515025950725345</v>
      </c>
      <c r="AH8" s="190">
        <f t="shared" si="7"/>
        <v>25.443258606583139</v>
      </c>
      <c r="AI8" s="190">
        <f t="shared" si="7"/>
        <v>25.42020040349384</v>
      </c>
      <c r="AJ8" s="190">
        <f t="shared" si="7"/>
        <v>25.438328800432956</v>
      </c>
      <c r="AK8" s="190">
        <f t="shared" si="7"/>
        <v>25.486806164384511</v>
      </c>
      <c r="AL8" s="190">
        <f t="shared" si="7"/>
        <v>25.550724266533159</v>
      </c>
      <c r="AM8" s="190">
        <f t="shared" si="7"/>
        <v>25.611326867405921</v>
      </c>
      <c r="AN8" s="190">
        <f t="shared" si="7"/>
        <v>25.648748876234933</v>
      </c>
      <c r="AO8" s="190" t="s">
        <v>632</v>
      </c>
      <c r="AS8" s="190">
        <f>AV11/AT11</f>
        <v>1.1584415584415584</v>
      </c>
      <c r="AT8" s="190">
        <f>AT11/0.15</f>
        <v>2.5666666666666669</v>
      </c>
      <c r="AV8" s="190">
        <f>AV11/0.2</f>
        <v>2.23</v>
      </c>
      <c r="AW8" s="190">
        <f>AT8/AV8</f>
        <v>1.1509715994020928</v>
      </c>
    </row>
    <row r="9" spans="1:94">
      <c r="A9" s="190">
        <f t="shared" ref="A9:O9" si="8">$A$1+A20*($A$2-$A$1)+A31*($A$3-$A$1)</f>
        <v>30.908419150372449</v>
      </c>
      <c r="B9" s="190">
        <f t="shared" si="8"/>
        <v>30.679666416813021</v>
      </c>
      <c r="C9" s="190">
        <f t="shared" si="8"/>
        <v>30.288045914034072</v>
      </c>
      <c r="D9" s="190">
        <f t="shared" si="8"/>
        <v>29.810547612922367</v>
      </c>
      <c r="E9" s="190">
        <f t="shared" si="8"/>
        <v>29.309024897317602</v>
      </c>
      <c r="F9" s="190">
        <f t="shared" si="8"/>
        <v>28.825854963952438</v>
      </c>
      <c r="G9" s="190">
        <f t="shared" si="8"/>
        <v>28.387434131153114</v>
      </c>
      <c r="H9" s="190">
        <f t="shared" si="8"/>
        <v>28.008803131109673</v>
      </c>
      <c r="I9" s="190">
        <f t="shared" si="8"/>
        <v>27.697314891070754</v>
      </c>
      <c r="J9" s="190">
        <f t="shared" si="8"/>
        <v>27.455014713140745</v>
      </c>
      <c r="K9" s="190">
        <f t="shared" si="8"/>
        <v>27.279883455631541</v>
      </c>
      <c r="L9" s="190">
        <f t="shared" si="8"/>
        <v>27.166164637036051</v>
      </c>
      <c r="M9" s="190">
        <f t="shared" si="8"/>
        <v>27.104046325524813</v>
      </c>
      <c r="N9" s="190">
        <f t="shared" si="8"/>
        <v>27.079288391445044</v>
      </c>
      <c r="O9" s="190">
        <f t="shared" si="8"/>
        <v>27.07436664494108</v>
      </c>
      <c r="P9" s="190">
        <f t="shared" si="1"/>
        <v>28.471591685097646</v>
      </c>
      <c r="Q9" s="190">
        <f t="shared" si="4"/>
        <v>10.999993827703474</v>
      </c>
      <c r="S9" s="190">
        <f t="shared" si="5"/>
        <v>27.360705754785737</v>
      </c>
      <c r="T9" s="190">
        <f t="shared" si="6"/>
        <v>10.999948614555562</v>
      </c>
      <c r="U9" s="190">
        <f t="shared" ref="U9:AN9" si="9">$A$1+U20*($A$2-$A$1)+U31*($A$3-$A$1)</f>
        <v>30.63844014098887</v>
      </c>
      <c r="V9" s="190">
        <f t="shared" si="9"/>
        <v>30.389810028954031</v>
      </c>
      <c r="W9" s="190">
        <f t="shared" si="9"/>
        <v>29.961452235958959</v>
      </c>
      <c r="X9" s="190">
        <f t="shared" si="9"/>
        <v>29.433877133693539</v>
      </c>
      <c r="Y9" s="190">
        <f t="shared" si="9"/>
        <v>28.871761150559095</v>
      </c>
      <c r="Z9" s="190">
        <f t="shared" si="9"/>
        <v>28.319445656220172</v>
      </c>
      <c r="AA9" s="190">
        <f t="shared" si="9"/>
        <v>27.804677226844731</v>
      </c>
      <c r="AB9" s="190">
        <f t="shared" si="9"/>
        <v>27.343590273956433</v>
      </c>
      <c r="AC9" s="190">
        <f t="shared" si="9"/>
        <v>26.944773510322229</v>
      </c>
      <c r="AD9" s="190">
        <f t="shared" si="9"/>
        <v>26.612113894263992</v>
      </c>
      <c r="AE9" s="190">
        <f t="shared" si="9"/>
        <v>26.346623785482592</v>
      </c>
      <c r="AF9" s="190">
        <f t="shared" si="9"/>
        <v>26.147512158108746</v>
      </c>
      <c r="AG9" s="190">
        <f t="shared" si="9"/>
        <v>26.012692920850654</v>
      </c>
      <c r="AH9" s="190">
        <f t="shared" si="9"/>
        <v>25.93883708491154</v>
      </c>
      <c r="AI9" s="190">
        <f t="shared" si="9"/>
        <v>25.920997757325658</v>
      </c>
      <c r="AJ9" s="190">
        <f t="shared" si="9"/>
        <v>25.951779055462453</v>
      </c>
      <c r="AK9" s="190">
        <f t="shared" si="9"/>
        <v>26.020014883594918</v>
      </c>
      <c r="AL9" s="190">
        <f t="shared" si="9"/>
        <v>26.109083344176177</v>
      </c>
      <c r="AM9" s="190">
        <f t="shared" si="9"/>
        <v>26.195613108350738</v>
      </c>
      <c r="AN9" s="190">
        <f t="shared" si="9"/>
        <v>26.251019745689245</v>
      </c>
      <c r="AS9" s="190">
        <f>(1-AW22)/(1-AU22)</f>
        <v>1.0871830977087162</v>
      </c>
      <c r="AT9" s="190" t="s">
        <v>624</v>
      </c>
      <c r="AU9" s="190" t="s">
        <v>623</v>
      </c>
      <c r="AV9" s="190" t="s">
        <v>622</v>
      </c>
      <c r="AW9" s="190" t="s">
        <v>621</v>
      </c>
      <c r="AZ9" s="190">
        <f>BJ11-BJ12-BJ13</f>
        <v>0</v>
      </c>
      <c r="BE9" s="190" t="s">
        <v>619</v>
      </c>
      <c r="BF9" s="190">
        <v>1</v>
      </c>
      <c r="BG9" s="190">
        <v>0.56452680760771312</v>
      </c>
      <c r="BH9" s="190">
        <f>BG9-BG6</f>
        <v>0.17947071238545964</v>
      </c>
      <c r="BJ9" s="190">
        <v>0.54858021549254921</v>
      </c>
      <c r="BK9" s="190">
        <f>BJ9-BJ6</f>
        <v>0.10264539241758119</v>
      </c>
      <c r="BM9" s="190" t="s">
        <v>615</v>
      </c>
      <c r="CD9" s="190" t="s">
        <v>608</v>
      </c>
      <c r="CE9" s="190">
        <v>0</v>
      </c>
      <c r="CF9" s="190">
        <v>0.1</v>
      </c>
      <c r="CG9" s="190">
        <v>0.2</v>
      </c>
      <c r="CH9" s="190">
        <v>0.3</v>
      </c>
      <c r="CJ9" s="190">
        <v>0.1</v>
      </c>
      <c r="CK9" s="190">
        <v>0.2</v>
      </c>
      <c r="CL9" s="190">
        <v>0.3</v>
      </c>
      <c r="CP9" s="190">
        <v>30</v>
      </c>
    </row>
    <row r="10" spans="1:94">
      <c r="A10" s="190">
        <f t="shared" ref="A10:O10" si="10">$A$1+A21*($A$2-$A$1)+A32*($A$3-$A$1)</f>
        <v>32.286160461834427</v>
      </c>
      <c r="B10" s="190">
        <f t="shared" si="10"/>
        <v>31.935824144292514</v>
      </c>
      <c r="C10" s="190">
        <f t="shared" si="10"/>
        <v>31.383308549918269</v>
      </c>
      <c r="D10" s="190">
        <f t="shared" si="10"/>
        <v>30.755702224418645</v>
      </c>
      <c r="E10" s="190">
        <f t="shared" si="10"/>
        <v>30.131721939626686</v>
      </c>
      <c r="F10" s="190">
        <f t="shared" si="10"/>
        <v>29.554691286388081</v>
      </c>
      <c r="G10" s="190">
        <f t="shared" si="10"/>
        <v>29.046884281017093</v>
      </c>
      <c r="H10" s="190">
        <f t="shared" si="10"/>
        <v>28.618777041084812</v>
      </c>
      <c r="I10" s="190">
        <f t="shared" si="10"/>
        <v>28.274222813057719</v>
      </c>
      <c r="J10" s="190">
        <f t="shared" si="10"/>
        <v>28.013094973683373</v>
      </c>
      <c r="K10" s="190">
        <f t="shared" si="10"/>
        <v>27.832326334456887</v>
      </c>
      <c r="L10" s="190">
        <f t="shared" si="10"/>
        <v>27.725701398793959</v>
      </c>
      <c r="M10" s="190">
        <f t="shared" si="10"/>
        <v>27.682350434404491</v>
      </c>
      <c r="N10" s="190">
        <f t="shared" si="10"/>
        <v>27.683840136154473</v>
      </c>
      <c r="O10" s="190">
        <f t="shared" si="10"/>
        <v>27.701299306490338</v>
      </c>
      <c r="P10" s="190">
        <f t="shared" si="1"/>
        <v>29.241727021708119</v>
      </c>
      <c r="Q10" s="190">
        <f t="shared" si="4"/>
        <v>11.999981110390113</v>
      </c>
      <c r="S10" s="190">
        <f t="shared" si="5"/>
        <v>28.029792751368557</v>
      </c>
      <c r="T10" s="190">
        <f t="shared" si="6"/>
        <v>11.999842215287137</v>
      </c>
      <c r="U10" s="190">
        <f t="shared" ref="U10:AN10" si="11">$A$1+U21*($A$2-$A$1)+U32*($A$3-$A$1)</f>
        <v>32.026443910497932</v>
      </c>
      <c r="V10" s="190">
        <f t="shared" si="11"/>
        <v>31.649802445424243</v>
      </c>
      <c r="W10" s="190">
        <f t="shared" si="11"/>
        <v>31.051464832844708</v>
      </c>
      <c r="X10" s="190">
        <f t="shared" si="11"/>
        <v>30.364317791528276</v>
      </c>
      <c r="Y10" s="190">
        <f t="shared" si="11"/>
        <v>29.670593482441824</v>
      </c>
      <c r="Z10" s="190">
        <f t="shared" si="11"/>
        <v>29.015458351187434</v>
      </c>
      <c r="AA10" s="190">
        <f t="shared" si="11"/>
        <v>28.4220798388532</v>
      </c>
      <c r="AB10" s="190">
        <f t="shared" si="11"/>
        <v>27.901418927869443</v>
      </c>
      <c r="AC10" s="190">
        <f t="shared" si="11"/>
        <v>27.457838028677976</v>
      </c>
      <c r="AD10" s="190">
        <f t="shared" si="11"/>
        <v>27.092203463017466</v>
      </c>
      <c r="AE10" s="190">
        <f t="shared" si="11"/>
        <v>26.803577276051016</v>
      </c>
      <c r="AF10" s="190">
        <f t="shared" si="11"/>
        <v>26.590098302752214</v>
      </c>
      <c r="AG10" s="190">
        <f t="shared" si="11"/>
        <v>26.449353168611445</v>
      </c>
      <c r="AH10" s="190">
        <f t="shared" si="11"/>
        <v>26.378357691231482</v>
      </c>
      <c r="AI10" s="190">
        <f t="shared" si="11"/>
        <v>26.373135578010132</v>
      </c>
      <c r="AJ10" s="190">
        <f t="shared" si="11"/>
        <v>26.427738676358452</v>
      </c>
      <c r="AK10" s="190">
        <f t="shared" si="11"/>
        <v>26.53235780241835</v>
      </c>
      <c r="AL10" s="190">
        <f t="shared" si="11"/>
        <v>26.66995072816227</v>
      </c>
      <c r="AM10" s="190">
        <f t="shared" si="11"/>
        <v>26.810994331813308</v>
      </c>
      <c r="AN10" s="190">
        <f t="shared" si="11"/>
        <v>26.908670399619957</v>
      </c>
      <c r="AR10" s="190" t="s">
        <v>620</v>
      </c>
      <c r="AT10" s="154">
        <v>0.4</v>
      </c>
      <c r="AU10" s="190">
        <f>AT10</f>
        <v>0.4</v>
      </c>
      <c r="AV10" s="190">
        <f>AU10</f>
        <v>0.4</v>
      </c>
      <c r="AW10" s="190">
        <f>AV10</f>
        <v>0.4</v>
      </c>
      <c r="BE10" s="190" t="s">
        <v>617</v>
      </c>
      <c r="BF10" s="190">
        <v>0</v>
      </c>
      <c r="BG10" s="190">
        <v>-0.17947071238546011</v>
      </c>
      <c r="BJ10" s="190">
        <v>-0.1026453924175814</v>
      </c>
      <c r="BM10" s="190" t="s">
        <v>614</v>
      </c>
      <c r="CD10" s="190" t="s">
        <v>666</v>
      </c>
      <c r="CF10" s="190">
        <v>20</v>
      </c>
      <c r="CG10" s="190">
        <v>20</v>
      </c>
      <c r="CH10" s="190">
        <v>20</v>
      </c>
      <c r="CJ10" s="190">
        <v>20</v>
      </c>
      <c r="CK10" s="190">
        <v>20</v>
      </c>
      <c r="CL10" s="190">
        <v>20</v>
      </c>
      <c r="CN10" s="190">
        <v>0</v>
      </c>
      <c r="CP10" s="190">
        <v>25</v>
      </c>
    </row>
    <row r="11" spans="1:94">
      <c r="A11" s="190">
        <f t="shared" ref="A11:O11" si="12">$A$1+A22*($A$2-$A$1)+A33*($A$3-$A$1)</f>
        <v>34.014234072951737</v>
      </c>
      <c r="B11" s="190">
        <f t="shared" si="12"/>
        <v>33.394156876094002</v>
      </c>
      <c r="C11" s="190">
        <f t="shared" si="12"/>
        <v>32.55365724653273</v>
      </c>
      <c r="D11" s="190">
        <f t="shared" si="12"/>
        <v>31.697225688754997</v>
      </c>
      <c r="E11" s="190">
        <f t="shared" si="12"/>
        <v>30.907463844194925</v>
      </c>
      <c r="F11" s="190">
        <f t="shared" si="12"/>
        <v>30.214298139965798</v>
      </c>
      <c r="G11" s="190">
        <f t="shared" si="12"/>
        <v>29.626628644669101</v>
      </c>
      <c r="H11" s="190">
        <f t="shared" si="12"/>
        <v>29.145191850040554</v>
      </c>
      <c r="I11" s="190">
        <f t="shared" si="12"/>
        <v>28.767698325606812</v>
      </c>
      <c r="J11" s="190">
        <f t="shared" si="12"/>
        <v>28.490810213065071</v>
      </c>
      <c r="K11" s="190">
        <f t="shared" si="12"/>
        <v>28.310620003499363</v>
      </c>
      <c r="L11" s="190">
        <f t="shared" si="12"/>
        <v>28.221959082787645</v>
      </c>
      <c r="M11" s="190">
        <f t="shared" si="12"/>
        <v>28.215809206706979</v>
      </c>
      <c r="N11" s="190">
        <f t="shared" si="12"/>
        <v>28.2724181397232</v>
      </c>
      <c r="O11" s="190">
        <f t="shared" si="12"/>
        <v>28.345687120443962</v>
      </c>
      <c r="P11" s="190">
        <f t="shared" si="1"/>
        <v>30.011857230335792</v>
      </c>
      <c r="Q11" s="190">
        <f t="shared" si="4"/>
        <v>12.999961734613832</v>
      </c>
      <c r="S11" s="190">
        <f t="shared" si="5"/>
        <v>28.698841588934773</v>
      </c>
      <c r="T11" s="190">
        <f t="shared" si="6"/>
        <v>12.99967879061438</v>
      </c>
      <c r="U11" s="190">
        <f t="shared" ref="U11:AN11" si="13">$A$1+U22*($A$2-$A$1)+U33*($A$3-$A$1)</f>
        <v>33.791063590086694</v>
      </c>
      <c r="V11" s="190">
        <f t="shared" si="13"/>
        <v>33.131463584198009</v>
      </c>
      <c r="W11" s="190">
        <f t="shared" si="13"/>
        <v>32.230256399083252</v>
      </c>
      <c r="X11" s="190">
        <f t="shared" si="13"/>
        <v>31.301301718496976</v>
      </c>
      <c r="Y11" s="190">
        <f t="shared" si="13"/>
        <v>30.430799057617609</v>
      </c>
      <c r="Z11" s="190">
        <f t="shared" si="13"/>
        <v>29.649673534554168</v>
      </c>
      <c r="AA11" s="190">
        <f t="shared" si="13"/>
        <v>28.966721113482329</v>
      </c>
      <c r="AB11" s="190">
        <f t="shared" si="13"/>
        <v>28.38212159782935</v>
      </c>
      <c r="AC11" s="190">
        <f t="shared" si="13"/>
        <v>27.892908702868915</v>
      </c>
      <c r="AD11" s="190">
        <f t="shared" si="13"/>
        <v>27.495236357232727</v>
      </c>
      <c r="AE11" s="190">
        <f t="shared" si="13"/>
        <v>27.185335251865048</v>
      </c>
      <c r="AF11" s="190">
        <f t="shared" si="13"/>
        <v>26.959903082194057</v>
      </c>
      <c r="AG11" s="190">
        <f t="shared" si="13"/>
        <v>26.816217762800996</v>
      </c>
      <c r="AH11" s="190">
        <f t="shared" si="13"/>
        <v>26.752061164931064</v>
      </c>
      <c r="AI11" s="190">
        <f t="shared" si="13"/>
        <v>26.765407256083183</v>
      </c>
      <c r="AJ11" s="190">
        <f t="shared" si="13"/>
        <v>26.853644648449517</v>
      </c>
      <c r="AK11" s="190">
        <f t="shared" si="13"/>
        <v>27.011692878900618</v>
      </c>
      <c r="AL11" s="190">
        <f t="shared" si="13"/>
        <v>27.227336930778968</v>
      </c>
      <c r="AM11" s="190">
        <f t="shared" si="13"/>
        <v>27.469715622863518</v>
      </c>
      <c r="AN11" s="190">
        <f t="shared" si="13"/>
        <v>27.663971524378397</v>
      </c>
      <c r="AR11" s="190" t="s">
        <v>618</v>
      </c>
      <c r="AT11" s="190">
        <v>0.38500000000000001</v>
      </c>
      <c r="AU11" s="190">
        <v>0.17899999999999999</v>
      </c>
      <c r="AV11" s="190">
        <v>0.44600000000000001</v>
      </c>
      <c r="AW11" s="190">
        <v>0.10299999999999999</v>
      </c>
      <c r="CD11" s="190" t="s">
        <v>659</v>
      </c>
      <c r="CF11" s="190">
        <v>40</v>
      </c>
      <c r="CG11" s="190">
        <v>40</v>
      </c>
      <c r="CH11" s="190">
        <v>40</v>
      </c>
      <c r="CJ11" s="190">
        <v>40</v>
      </c>
      <c r="CK11" s="190">
        <v>40</v>
      </c>
      <c r="CL11" s="190">
        <v>40</v>
      </c>
      <c r="CN11" s="190">
        <v>1</v>
      </c>
      <c r="CP11" s="190">
        <v>15</v>
      </c>
    </row>
    <row r="12" spans="1:94">
      <c r="A12" s="190">
        <f t="shared" ref="A12:O12" si="14">$A$1+A23*($A$2-$A$1)+A34*($A$3-$A$1)</f>
        <v>36.362381488607809</v>
      </c>
      <c r="B12" s="190">
        <f t="shared" si="14"/>
        <v>35.072908204391162</v>
      </c>
      <c r="C12" s="190">
        <f t="shared" si="14"/>
        <v>33.739933429756611</v>
      </c>
      <c r="D12" s="190">
        <f t="shared" si="14"/>
        <v>32.572074394319031</v>
      </c>
      <c r="E12" s="190">
        <f t="shared" si="14"/>
        <v>31.58660404229196</v>
      </c>
      <c r="F12" s="190">
        <f t="shared" si="14"/>
        <v>30.768402824103859</v>
      </c>
      <c r="G12" s="190">
        <f t="shared" si="14"/>
        <v>30.100134102489434</v>
      </c>
      <c r="H12" s="190">
        <f t="shared" si="14"/>
        <v>29.567657100820313</v>
      </c>
      <c r="I12" s="190">
        <f t="shared" si="14"/>
        <v>29.160562221088838</v>
      </c>
      <c r="J12" s="190">
        <f t="shared" si="14"/>
        <v>28.87182158894155</v>
      </c>
      <c r="K12" s="190">
        <f t="shared" si="14"/>
        <v>28.697378817517293</v>
      </c>
      <c r="L12" s="190">
        <f t="shared" si="14"/>
        <v>28.635700676559814</v>
      </c>
      <c r="M12" s="190">
        <f t="shared" si="14"/>
        <v>28.686504728267309</v>
      </c>
      <c r="N12" s="190">
        <f t="shared" si="14"/>
        <v>28.844332259341492</v>
      </c>
      <c r="O12" s="190">
        <f t="shared" si="14"/>
        <v>29.063340522762836</v>
      </c>
      <c r="P12" s="190">
        <f t="shared" si="1"/>
        <v>30.78198242675062</v>
      </c>
      <c r="Q12" s="190">
        <f t="shared" si="4"/>
        <v>13.999935850696879</v>
      </c>
      <c r="S12" s="190">
        <f t="shared" si="5"/>
        <v>29.367852042872812</v>
      </c>
      <c r="T12" s="190">
        <f t="shared" si="6"/>
        <v>13.999458004874404</v>
      </c>
      <c r="U12" s="190">
        <f t="shared" ref="U12:AN12" si="15">$A$1+U23*($A$2-$A$1)+U34*($A$3-$A$1)</f>
        <v>36.21526159388484</v>
      </c>
      <c r="V12" s="190">
        <f t="shared" si="15"/>
        <v>34.854707120028849</v>
      </c>
      <c r="W12" s="190">
        <f t="shared" si="15"/>
        <v>33.436766286318047</v>
      </c>
      <c r="X12" s="190">
        <f t="shared" si="15"/>
        <v>32.179799791602008</v>
      </c>
      <c r="Y12" s="190">
        <f t="shared" si="15"/>
        <v>31.101589236855055</v>
      </c>
      <c r="Z12" s="190">
        <f t="shared" si="15"/>
        <v>30.185673431148484</v>
      </c>
      <c r="AA12" s="190">
        <f t="shared" si="15"/>
        <v>29.412964020384972</v>
      </c>
      <c r="AB12" s="190">
        <f t="shared" si="15"/>
        <v>28.767389652995568</v>
      </c>
      <c r="AC12" s="190">
        <f t="shared" si="15"/>
        <v>28.236389111133462</v>
      </c>
      <c r="AD12" s="190">
        <f t="shared" si="15"/>
        <v>27.810447420970782</v>
      </c>
      <c r="AE12" s="190">
        <f t="shared" si="15"/>
        <v>27.482573696389345</v>
      </c>
      <c r="AF12" s="190">
        <f t="shared" si="15"/>
        <v>27.247911278956671</v>
      </c>
      <c r="AG12" s="190">
        <f t="shared" si="15"/>
        <v>27.103505616188166</v>
      </c>
      <c r="AH12" s="190">
        <f t="shared" si="15"/>
        <v>27.048216454385397</v>
      </c>
      <c r="AI12" s="190">
        <f t="shared" si="15"/>
        <v>27.082745409629844</v>
      </c>
      <c r="AJ12" s="190">
        <f t="shared" si="15"/>
        <v>27.209701482614104</v>
      </c>
      <c r="AK12" s="190">
        <f t="shared" si="15"/>
        <v>27.433398257394195</v>
      </c>
      <c r="AL12" s="190">
        <f t="shared" si="15"/>
        <v>27.757959277879344</v>
      </c>
      <c r="AM12" s="190">
        <f t="shared" si="15"/>
        <v>28.176534884550406</v>
      </c>
      <c r="AN12" s="190">
        <f t="shared" si="15"/>
        <v>28.613506834146705</v>
      </c>
      <c r="AS12" s="190">
        <v>0</v>
      </c>
      <c r="AT12" s="190">
        <v>1</v>
      </c>
      <c r="AU12" s="190">
        <f>AT12</f>
        <v>1</v>
      </c>
      <c r="AV12" s="190">
        <v>1</v>
      </c>
      <c r="AW12" s="190">
        <f>AV12</f>
        <v>1</v>
      </c>
      <c r="BE12" s="190" t="s">
        <v>619</v>
      </c>
      <c r="BF12" s="190">
        <v>1</v>
      </c>
      <c r="BG12" s="190">
        <v>0.74399751999317321</v>
      </c>
      <c r="BH12" s="190">
        <f>BG12-BG6</f>
        <v>0.35894142477091973</v>
      </c>
      <c r="BJ12" s="190">
        <v>0.65122560791013107</v>
      </c>
      <c r="BK12" s="190">
        <f>BJ12-BJ6</f>
        <v>0.20529078483516305</v>
      </c>
      <c r="BM12" s="190" t="s">
        <v>615</v>
      </c>
      <c r="CD12" s="190" t="s">
        <v>660</v>
      </c>
      <c r="CF12" s="190">
        <v>40</v>
      </c>
      <c r="CG12" s="190">
        <v>40</v>
      </c>
      <c r="CH12" s="190">
        <v>40</v>
      </c>
      <c r="CJ12" s="190">
        <v>40</v>
      </c>
      <c r="CK12" s="190">
        <v>40</v>
      </c>
      <c r="CL12" s="190">
        <v>40</v>
      </c>
      <c r="CN12" s="190">
        <v>1</v>
      </c>
      <c r="CP12" s="190">
        <v>15</v>
      </c>
    </row>
    <row r="13" spans="1:94">
      <c r="A13" s="190">
        <f t="shared" ref="A13:O13" si="16">$A$1+A24*($A$2-$A$1)+A35*($A$3-$A$1)</f>
        <v>40</v>
      </c>
      <c r="B13" s="190">
        <f t="shared" si="16"/>
        <v>36.795157936677185</v>
      </c>
      <c r="C13" s="190">
        <f t="shared" si="16"/>
        <v>34.761089835461362</v>
      </c>
      <c r="D13" s="190">
        <f t="shared" si="16"/>
        <v>33.264529548326628</v>
      </c>
      <c r="E13" s="190">
        <f t="shared" si="16"/>
        <v>32.098469574734324</v>
      </c>
      <c r="F13" s="190">
        <f t="shared" si="16"/>
        <v>31.172568998052071</v>
      </c>
      <c r="G13" s="190">
        <f t="shared" si="16"/>
        <v>30.437841534782986</v>
      </c>
      <c r="H13" s="190">
        <f t="shared" si="16"/>
        <v>29.864733826282556</v>
      </c>
      <c r="I13" s="190">
        <f t="shared" si="16"/>
        <v>29.435065563394168</v>
      </c>
      <c r="J13" s="190">
        <f t="shared" si="16"/>
        <v>29.138529090458054</v>
      </c>
      <c r="K13" s="190">
        <f t="shared" si="16"/>
        <v>28.971367469224671</v>
      </c>
      <c r="L13" s="190">
        <f t="shared" si="16"/>
        <v>28.936955209489067</v>
      </c>
      <c r="M13" s="190">
        <f t="shared" si="16"/>
        <v>29.05017273210666</v>
      </c>
      <c r="N13" s="190">
        <f t="shared" si="16"/>
        <v>29.355062560155183</v>
      </c>
      <c r="O13" s="190">
        <f t="shared" si="16"/>
        <v>30</v>
      </c>
      <c r="P13" s="190">
        <f t="shared" si="1"/>
        <v>31.552102925276326</v>
      </c>
      <c r="Q13" s="190">
        <f t="shared" si="4"/>
        <v>14.999903866774966</v>
      </c>
      <c r="S13" s="190">
        <f t="shared" si="5"/>
        <v>30.036825016626132</v>
      </c>
      <c r="T13" s="190">
        <f t="shared" si="6"/>
        <v>14.999181208186604</v>
      </c>
      <c r="U13" s="190">
        <f t="shared" ref="U13:AN13" si="17">$A$1+U24*($A$2-$A$1)+U35*($A$3-$A$1)</f>
        <v>40</v>
      </c>
      <c r="V13" s="190">
        <f t="shared" si="17"/>
        <v>36.635316895778246</v>
      </c>
      <c r="W13" s="190">
        <f t="shared" si="17"/>
        <v>34.482275068758668</v>
      </c>
      <c r="X13" s="190">
        <f t="shared" si="17"/>
        <v>32.879509012640696</v>
      </c>
      <c r="Y13" s="190">
        <f t="shared" si="17"/>
        <v>31.610046355703766</v>
      </c>
      <c r="Z13" s="190">
        <f t="shared" si="17"/>
        <v>30.578424045595405</v>
      </c>
      <c r="AA13" s="190">
        <f t="shared" si="17"/>
        <v>29.732025284865166</v>
      </c>
      <c r="AB13" s="190">
        <f t="shared" si="17"/>
        <v>29.038034467171101</v>
      </c>
      <c r="AC13" s="190">
        <f t="shared" si="17"/>
        <v>28.474759356960128</v>
      </c>
      <c r="AD13" s="190">
        <f t="shared" si="17"/>
        <v>28.027538252991928</v>
      </c>
      <c r="AE13" s="190">
        <f t="shared" si="17"/>
        <v>27.686548562175332</v>
      </c>
      <c r="AF13" s="190">
        <f t="shared" si="17"/>
        <v>27.445611394342446</v>
      </c>
      <c r="AG13" s="190">
        <f t="shared" si="17"/>
        <v>27.301627527790657</v>
      </c>
      <c r="AH13" s="190">
        <f t="shared" si="17"/>
        <v>27.254506994828944</v>
      </c>
      <c r="AI13" s="190">
        <f t="shared" si="17"/>
        <v>27.30761352015239</v>
      </c>
      <c r="AJ13" s="190">
        <f t="shared" si="17"/>
        <v>27.468979263213278</v>
      </c>
      <c r="AK13" s="190">
        <f t="shared" si="17"/>
        <v>27.754206438397642</v>
      </c>
      <c r="AL13" s="190">
        <f t="shared" si="17"/>
        <v>28.19454023713342</v>
      </c>
      <c r="AM13" s="190">
        <f t="shared" si="17"/>
        <v>28.864937654023343</v>
      </c>
      <c r="AN13" s="190">
        <f t="shared" si="17"/>
        <v>30</v>
      </c>
      <c r="AS13" s="190">
        <v>1</v>
      </c>
      <c r="AT13" s="190">
        <f t="shared" ref="AT13:AT22" si="18">AT12-AT12*AT$11*AT$10</f>
        <v>0.84599999999999997</v>
      </c>
      <c r="AU13" s="190">
        <f>AT13+(AT22-AT13)*AU$11*AU$10</f>
        <v>0.79887312901025753</v>
      </c>
      <c r="AV13" s="190">
        <f t="shared" ref="AV13:AV22" si="19">AV12-AV12*AV$11*AV$10</f>
        <v>0.8216</v>
      </c>
      <c r="AW13" s="190">
        <f>AV13+(AV22-AV13)*AW$11*AW$10</f>
        <v>0.79352440896244703</v>
      </c>
      <c r="BE13" s="190" t="s">
        <v>617</v>
      </c>
      <c r="BF13" s="190">
        <v>-1</v>
      </c>
      <c r="BG13" s="190">
        <v>-0.74399751999317376</v>
      </c>
      <c r="BJ13" s="190">
        <v>-0.65122560791013095</v>
      </c>
      <c r="BM13" s="190" t="s">
        <v>614</v>
      </c>
      <c r="CD13" s="190" t="s">
        <v>661</v>
      </c>
      <c r="CF13" s="190">
        <v>2.5000000000000001E-2</v>
      </c>
      <c r="CG13" s="190">
        <v>2.5000000000000001E-2</v>
      </c>
      <c r="CH13" s="190">
        <v>2.5000000000000001E-2</v>
      </c>
      <c r="CJ13" s="190">
        <v>1.2500000000000001E-2</v>
      </c>
      <c r="CK13" s="190">
        <v>1.2500000000000001E-2</v>
      </c>
      <c r="CL13" s="190">
        <v>1.2500000000000001E-2</v>
      </c>
      <c r="CN13" s="190">
        <v>1.2500000000000001E-2</v>
      </c>
      <c r="CP13" s="190">
        <v>1.2500000000000001E-2</v>
      </c>
    </row>
    <row r="14" spans="1:94">
      <c r="A14" s="190">
        <f t="shared" ref="A14:O14" si="20">$A$1+A25*($A$2-$A$1)+A36*($A$3-$A$1)</f>
        <v>40</v>
      </c>
      <c r="B14" s="190">
        <f t="shared" si="20"/>
        <v>37.346631546415338</v>
      </c>
      <c r="C14" s="190">
        <f t="shared" si="20"/>
        <v>35.244734829951192</v>
      </c>
      <c r="D14" s="190">
        <f t="shared" si="20"/>
        <v>33.626479724746169</v>
      </c>
      <c r="E14" s="190">
        <f t="shared" si="20"/>
        <v>32.370170250042435</v>
      </c>
      <c r="F14" s="190">
        <f t="shared" si="20"/>
        <v>31.385556040249384</v>
      </c>
      <c r="G14" s="190">
        <f t="shared" si="20"/>
        <v>30.613922861930337</v>
      </c>
      <c r="H14" s="190">
        <f t="shared" si="20"/>
        <v>30.018364645431916</v>
      </c>
      <c r="I14" s="190">
        <f t="shared" si="20"/>
        <v>29.576430765359174</v>
      </c>
      <c r="J14" s="190">
        <f t="shared" si="20"/>
        <v>29.27585572191451</v>
      </c>
      <c r="K14" s="190">
        <f t="shared" si="20"/>
        <v>29.112601299184114</v>
      </c>
      <c r="L14" s="190">
        <f t="shared" si="20"/>
        <v>29.090575295991016</v>
      </c>
      <c r="M14" s="190">
        <f t="shared" si="20"/>
        <v>29.22216483335518</v>
      </c>
      <c r="N14" s="190">
        <f t="shared" si="20"/>
        <v>29.525743088714048</v>
      </c>
      <c r="O14" s="190">
        <f t="shared" si="20"/>
        <v>30</v>
      </c>
      <c r="P14" s="190">
        <f t="shared" si="1"/>
        <v>31.760615393552321</v>
      </c>
      <c r="Q14" s="190">
        <f t="shared" si="4"/>
        <v>15.27064824980158</v>
      </c>
      <c r="S14" s="190">
        <f t="shared" si="5"/>
        <v>30.222213664033557</v>
      </c>
      <c r="T14" s="190">
        <f t="shared" si="6"/>
        <v>15.27622877171375</v>
      </c>
      <c r="U14" s="190">
        <f t="shared" ref="U14:AN14" si="21">$A$1+U25*($A$2-$A$1)+U36*($A$3-$A$1)</f>
        <v>40</v>
      </c>
      <c r="V14" s="190">
        <f t="shared" si="21"/>
        <v>37.204271124661737</v>
      </c>
      <c r="W14" s="190">
        <f t="shared" si="21"/>
        <v>34.977484009335967</v>
      </c>
      <c r="X14" s="190">
        <f t="shared" si="21"/>
        <v>33.245883063679116</v>
      </c>
      <c r="Y14" s="190">
        <f t="shared" si="21"/>
        <v>31.880625064679823</v>
      </c>
      <c r="Z14" s="190">
        <f t="shared" si="21"/>
        <v>30.785907916487687</v>
      </c>
      <c r="AA14" s="190">
        <f t="shared" si="21"/>
        <v>29.898631343770084</v>
      </c>
      <c r="AB14" s="190">
        <f t="shared" si="21"/>
        <v>29.177913267536475</v>
      </c>
      <c r="AC14" s="190">
        <f t="shared" si="21"/>
        <v>28.597023259363379</v>
      </c>
      <c r="AD14" s="190">
        <f t="shared" si="21"/>
        <v>28.138344315767394</v>
      </c>
      <c r="AE14" s="190">
        <f t="shared" si="21"/>
        <v>27.790417543404242</v>
      </c>
      <c r="AF14" s="190">
        <f t="shared" si="21"/>
        <v>27.546305855242387</v>
      </c>
      <c r="AG14" s="190">
        <f t="shared" si="21"/>
        <v>27.402835774127812</v>
      </c>
      <c r="AH14" s="190">
        <f t="shared" si="21"/>
        <v>27.360523181743268</v>
      </c>
      <c r="AI14" s="190">
        <f t="shared" si="21"/>
        <v>27.424179181322351</v>
      </c>
      <c r="AJ14" s="190">
        <f t="shared" si="21"/>
        <v>27.604357509645865</v>
      </c>
      <c r="AK14" s="190">
        <f t="shared" si="21"/>
        <v>27.91987618810672</v>
      </c>
      <c r="AL14" s="190">
        <f t="shared" si="21"/>
        <v>28.401033476540675</v>
      </c>
      <c r="AM14" s="190">
        <f t="shared" si="21"/>
        <v>29.088661205256084</v>
      </c>
      <c r="AN14" s="190">
        <f t="shared" si="21"/>
        <v>30</v>
      </c>
      <c r="AS14" s="190">
        <v>2</v>
      </c>
      <c r="AT14" s="190">
        <f t="shared" si="18"/>
        <v>0.71571600000000002</v>
      </c>
      <c r="AU14" s="190">
        <f>AT14+(AT21-AT14)*AU$11*AU$10</f>
        <v>0.680365213135529</v>
      </c>
      <c r="AV14" s="190">
        <f t="shared" si="19"/>
        <v>0.67502655999999994</v>
      </c>
      <c r="AW14" s="190">
        <f>AV14+(AV21-AV14)*AW$11*AW$10</f>
        <v>0.65424361685074461</v>
      </c>
      <c r="BH14" s="190">
        <f>BH12/BH9</f>
        <v>2.0000000000000027</v>
      </c>
      <c r="BK14" s="190">
        <f>BK12/BK9</f>
        <v>2.0000000000000067</v>
      </c>
      <c r="CD14" s="190" t="s">
        <v>662</v>
      </c>
      <c r="CF14" s="190">
        <v>0.25</v>
      </c>
      <c r="CG14" s="190">
        <v>0.25</v>
      </c>
      <c r="CH14" s="190">
        <v>0.25</v>
      </c>
      <c r="CJ14" s="190">
        <v>0.25</v>
      </c>
      <c r="CK14" s="190">
        <v>0.25</v>
      </c>
      <c r="CL14" s="190">
        <v>0.25</v>
      </c>
      <c r="CN14" s="190">
        <v>0.25</v>
      </c>
      <c r="CP14" s="190">
        <v>0.25</v>
      </c>
    </row>
    <row r="15" spans="1:94">
      <c r="AS15" s="190">
        <v>3</v>
      </c>
      <c r="AT15" s="190">
        <f t="shared" si="18"/>
        <v>0.60549573599999995</v>
      </c>
      <c r="AU15" s="190">
        <f>AT15+(AT20-AT15)*AU$11*AU$10</f>
        <v>0.58093004122619307</v>
      </c>
      <c r="AV15" s="190">
        <f t="shared" si="19"/>
        <v>0.55460182169599992</v>
      </c>
      <c r="AW15" s="190">
        <f>AV15+(AV20-AV15)*AW$11*AW$10</f>
        <v>0.54030645147506617</v>
      </c>
      <c r="BG15" s="190">
        <v>0.50829578631970562</v>
      </c>
      <c r="BH15" s="190" t="s">
        <v>616</v>
      </c>
      <c r="BJ15" s="190">
        <v>0.58885921118215723</v>
      </c>
      <c r="BK15" s="190" t="s">
        <v>616</v>
      </c>
      <c r="CD15" s="190" t="s">
        <v>663</v>
      </c>
      <c r="CF15" s="190">
        <v>11.695245315167824</v>
      </c>
      <c r="CG15" s="190">
        <v>17.841107200721126</v>
      </c>
      <c r="CH15" s="190">
        <v>20.298677206862749</v>
      </c>
      <c r="CJ15" s="190">
        <v>7.3797320932941375</v>
      </c>
      <c r="CK15" s="190">
        <v>12.3222562752795</v>
      </c>
      <c r="CL15" s="190">
        <v>15.053220088274202</v>
      </c>
      <c r="CN15" s="190">
        <v>0.36898660466470723</v>
      </c>
      <c r="CO15" s="190">
        <f>CJ15/CN15</f>
        <v>19.999999999999982</v>
      </c>
      <c r="CP15" s="190">
        <v>-7.5266100441370867</v>
      </c>
    </row>
    <row r="16" spans="1:94">
      <c r="AS16" s="190">
        <v>4</v>
      </c>
      <c r="AT16" s="190">
        <f t="shared" si="18"/>
        <v>0.51224939265599989</v>
      </c>
      <c r="AU16" s="190">
        <f>AT16+(AT19-AT16)*AU$11*AU$10</f>
        <v>0.49778013747019101</v>
      </c>
      <c r="AV16" s="190">
        <f t="shared" si="19"/>
        <v>0.45566085670543355</v>
      </c>
      <c r="AW16" s="190">
        <f>AV16+(AV19-AV16)*AW$11*AW$10</f>
        <v>0.4472992954667907</v>
      </c>
      <c r="BF16" s="190">
        <v>1</v>
      </c>
      <c r="BG16" s="190">
        <v>0.50709617964436582</v>
      </c>
      <c r="BH16" s="190" t="s">
        <v>615</v>
      </c>
      <c r="BJ16" s="190">
        <v>0.51573368991892354</v>
      </c>
      <c r="BK16" s="190" t="s">
        <v>615</v>
      </c>
      <c r="CD16" s="190" t="s">
        <v>664</v>
      </c>
      <c r="CF16" s="190">
        <v>20</v>
      </c>
      <c r="CG16" s="190">
        <v>20</v>
      </c>
      <c r="CH16" s="190">
        <v>20</v>
      </c>
      <c r="CJ16" s="190">
        <v>20</v>
      </c>
      <c r="CK16" s="190">
        <v>20</v>
      </c>
      <c r="CL16" s="190">
        <v>20</v>
      </c>
      <c r="CN16" s="190">
        <v>0</v>
      </c>
      <c r="CP16" s="190">
        <v>25</v>
      </c>
    </row>
    <row r="17" spans="1:94">
      <c r="AS17" s="190">
        <v>5</v>
      </c>
      <c r="AT17" s="190">
        <f t="shared" si="18"/>
        <v>0.43336298618697588</v>
      </c>
      <c r="AU17" s="190">
        <f>AT17+(AT18-AT17)*AU$11*AU$10</f>
        <v>0.4285845525560838</v>
      </c>
      <c r="AV17" s="190">
        <f t="shared" si="19"/>
        <v>0.37437095986918423</v>
      </c>
      <c r="AW17" s="190">
        <f>AV17+(AV18-AV17)*AW$11*AW$10</f>
        <v>0.37161930336446891</v>
      </c>
      <c r="BF17" s="190">
        <v>0.32</v>
      </c>
      <c r="BG17" s="190">
        <v>1.1778660490082138E-3</v>
      </c>
      <c r="BH17" s="190" t="s">
        <v>614</v>
      </c>
      <c r="BJ17" s="190">
        <v>7.2900276540034392E-2</v>
      </c>
      <c r="BK17" s="190" t="s">
        <v>614</v>
      </c>
      <c r="CD17" s="190" t="s">
        <v>664</v>
      </c>
      <c r="CF17" s="190">
        <v>31.69524531516505</v>
      </c>
      <c r="CG17" s="190">
        <v>28.920545614109091</v>
      </c>
      <c r="CH17" s="190">
        <v>26.765907689347987</v>
      </c>
      <c r="CJ17" s="190">
        <v>34.759464185881868</v>
      </c>
      <c r="CK17" s="190">
        <v>32.321859130500798</v>
      </c>
      <c r="CL17" s="190">
        <v>30.023778726785864</v>
      </c>
      <c r="CN17" s="190">
        <v>0.73797320929409305</v>
      </c>
      <c r="CP17" s="190">
        <v>19.988110636607065</v>
      </c>
    </row>
    <row r="18" spans="1:94">
      <c r="A18" s="190">
        <v>0</v>
      </c>
      <c r="B18" s="190">
        <v>0</v>
      </c>
      <c r="C18" s="190">
        <v>0</v>
      </c>
      <c r="D18" s="190">
        <v>0</v>
      </c>
      <c r="E18" s="190">
        <v>0</v>
      </c>
      <c r="F18" s="190">
        <v>0</v>
      </c>
      <c r="G18" s="190">
        <v>0</v>
      </c>
      <c r="H18" s="190">
        <v>0</v>
      </c>
      <c r="I18" s="190">
        <v>0</v>
      </c>
      <c r="J18" s="190">
        <v>0</v>
      </c>
      <c r="K18" s="190">
        <v>0</v>
      </c>
      <c r="L18" s="190">
        <v>0</v>
      </c>
      <c r="M18" s="190">
        <v>0</v>
      </c>
      <c r="N18" s="190">
        <v>0</v>
      </c>
      <c r="O18" s="190">
        <v>0</v>
      </c>
      <c r="U18" s="190">
        <v>0</v>
      </c>
      <c r="V18" s="190">
        <v>0</v>
      </c>
      <c r="W18" s="190">
        <v>0</v>
      </c>
      <c r="X18" s="190">
        <v>0</v>
      </c>
      <c r="Y18" s="190">
        <v>0</v>
      </c>
      <c r="Z18" s="190">
        <v>0</v>
      </c>
      <c r="AA18" s="190">
        <v>0</v>
      </c>
      <c r="AB18" s="190">
        <v>0</v>
      </c>
      <c r="AC18" s="190">
        <v>0</v>
      </c>
      <c r="AD18" s="190">
        <v>0</v>
      </c>
      <c r="AE18" s="190">
        <v>0</v>
      </c>
      <c r="AF18" s="190">
        <v>0</v>
      </c>
      <c r="AG18" s="190">
        <v>0</v>
      </c>
      <c r="AH18" s="190">
        <v>0</v>
      </c>
      <c r="AI18" s="190">
        <v>0</v>
      </c>
      <c r="AJ18" s="190">
        <v>0</v>
      </c>
      <c r="AK18" s="190">
        <v>0</v>
      </c>
      <c r="AL18" s="190">
        <v>0</v>
      </c>
      <c r="AM18" s="190">
        <v>0</v>
      </c>
      <c r="AN18" s="190">
        <v>0</v>
      </c>
      <c r="AS18" s="190">
        <v>6</v>
      </c>
      <c r="AT18" s="190">
        <f t="shared" si="18"/>
        <v>0.36662508631418156</v>
      </c>
      <c r="AU18" s="190">
        <f>AT18+(AT17-AT18)*AU$11*AU$10</f>
        <v>0.37140351994507365</v>
      </c>
      <c r="AV18" s="190">
        <f t="shared" si="19"/>
        <v>0.30758318062852175</v>
      </c>
      <c r="AW18" s="190">
        <f>AV18+(AV17-AV18)*AW$11*AW$10</f>
        <v>0.31033483713323706</v>
      </c>
      <c r="CD18" s="71" t="s">
        <v>266</v>
      </c>
      <c r="CF18" s="71">
        <v>116.9524531516505</v>
      </c>
      <c r="CG18" s="71">
        <v>89.20545614109092</v>
      </c>
      <c r="CH18" s="71">
        <v>67.659076893479877</v>
      </c>
      <c r="CI18" s="71"/>
      <c r="CJ18" s="71">
        <v>73.797320929409338</v>
      </c>
      <c r="CK18" s="71">
        <v>61.609295652503995</v>
      </c>
      <c r="CL18" s="71">
        <v>50.118893633929318</v>
      </c>
      <c r="CM18" s="71"/>
      <c r="CN18" s="71">
        <v>3.6898660464704656</v>
      </c>
      <c r="CO18" s="71">
        <f>CJ18/CN18</f>
        <v>20.000000000000007</v>
      </c>
      <c r="CP18" s="71">
        <v>-25.059446816964677</v>
      </c>
    </row>
    <row r="19" spans="1:94">
      <c r="A19" s="190">
        <v>0.43587815594776158</v>
      </c>
      <c r="B19" s="215">
        <v>0.42392826872304162</v>
      </c>
      <c r="C19" s="215">
        <v>0.40229785459322009</v>
      </c>
      <c r="D19" s="215">
        <v>0.37412674874324986</v>
      </c>
      <c r="E19" s="215">
        <v>0.34233055648770411</v>
      </c>
      <c r="F19" s="215">
        <v>0.30915893279486234</v>
      </c>
      <c r="G19" s="215">
        <v>0.27617212202616004</v>
      </c>
      <c r="H19" s="215">
        <v>0.24438935584756241</v>
      </c>
      <c r="I19" s="215">
        <v>0.2144745978691435</v>
      </c>
      <c r="J19" s="215">
        <v>0.18690853191522699</v>
      </c>
      <c r="K19" s="215">
        <v>0.16213586299685531</v>
      </c>
      <c r="L19" s="215">
        <v>0.14068774396679043</v>
      </c>
      <c r="M19" s="215">
        <v>0.1232699308618873</v>
      </c>
      <c r="N19" s="215">
        <v>0.11078066877899048</v>
      </c>
      <c r="O19" s="215">
        <v>0.10418632238470782</v>
      </c>
      <c r="U19" s="190">
        <v>0.44497768248581565</v>
      </c>
      <c r="V19" s="190">
        <v>0.43359025069375584</v>
      </c>
      <c r="W19" s="190">
        <v>0.41301763132850527</v>
      </c>
      <c r="X19" s="190">
        <v>0.38630274336644987</v>
      </c>
      <c r="Y19" s="190">
        <v>0.35626185779718234</v>
      </c>
      <c r="Z19" s="190">
        <v>0.32504978828965791</v>
      </c>
      <c r="AA19" s="190">
        <v>0.29412816684271376</v>
      </c>
      <c r="AB19" s="190">
        <v>0.26439567720055029</v>
      </c>
      <c r="AC19" s="190">
        <v>0.23634751393787246</v>
      </c>
      <c r="AD19" s="190">
        <v>0.21021241552505823</v>
      </c>
      <c r="AE19" s="190">
        <v>0.18605611455195498</v>
      </c>
      <c r="AF19" s="190">
        <v>0.16385569036096639</v>
      </c>
      <c r="AG19" s="190">
        <v>0.14355345893599214</v>
      </c>
      <c r="AH19" s="190">
        <v>0.12509884690780002</v>
      </c>
      <c r="AI19" s="190">
        <v>0.10848512602986306</v>
      </c>
      <c r="AJ19" s="190">
        <v>9.3785511123056595E-2</v>
      </c>
      <c r="AK19" s="190">
        <v>8.1188936536000525E-2</v>
      </c>
      <c r="AL19" s="190">
        <v>7.1027397662405165E-2</v>
      </c>
      <c r="AM19" s="190">
        <v>6.3771218023418078E-2</v>
      </c>
      <c r="AN19" s="190">
        <v>5.9948602568838896E-2</v>
      </c>
      <c r="AS19" s="190">
        <v>7</v>
      </c>
      <c r="AT19" s="190">
        <f t="shared" si="18"/>
        <v>0.3101648230217976</v>
      </c>
      <c r="AU19" s="190">
        <f>AT19+(AT16-AT19)*AU$11*AU$10</f>
        <v>0.32463407820760648</v>
      </c>
      <c r="AV19" s="190">
        <f t="shared" si="19"/>
        <v>0.25271034120439345</v>
      </c>
      <c r="AW19" s="190">
        <f>AV19+(AV16-AV19)*AW$11*AW$10</f>
        <v>0.2610719024430363</v>
      </c>
      <c r="BG19" s="190">
        <v>0.45823635281852237</v>
      </c>
      <c r="BH19" s="190" t="s">
        <v>616</v>
      </c>
      <c r="BJ19" s="190">
        <v>0.53086550098997509</v>
      </c>
      <c r="BK19" s="190" t="s">
        <v>616</v>
      </c>
      <c r="CD19" s="190" t="s">
        <v>665</v>
      </c>
      <c r="CF19" s="190">
        <v>11.695245315165051</v>
      </c>
      <c r="CG19" s="190">
        <v>17.841091228218186</v>
      </c>
      <c r="CH19" s="190">
        <v>20.297723068043961</v>
      </c>
      <c r="CJ19" s="190">
        <v>7.3797320929409338</v>
      </c>
      <c r="CK19" s="190">
        <v>12.321859130500799</v>
      </c>
      <c r="CL19" s="190">
        <v>15.035668090178795</v>
      </c>
      <c r="CN19" s="190">
        <v>0.36898660464704658</v>
      </c>
      <c r="CO19" s="190">
        <f>CJ19/CN19</f>
        <v>20.000000000000007</v>
      </c>
      <c r="CP19" s="190">
        <v>-7.517834045089403</v>
      </c>
    </row>
    <row r="20" spans="1:94">
      <c r="A20" s="190">
        <v>0.49141572186012716</v>
      </c>
      <c r="B20" s="190">
        <v>0.47600148140603343</v>
      </c>
      <c r="C20" s="190">
        <v>0.44906818341811122</v>
      </c>
      <c r="D20" s="190">
        <v>0.41516435296028942</v>
      </c>
      <c r="E20" s="190">
        <v>0.3779388779667886</v>
      </c>
      <c r="F20" s="190">
        <v>0.33988984049213755</v>
      </c>
      <c r="G20" s="190">
        <v>0.30258511237451591</v>
      </c>
      <c r="H20" s="190">
        <v>0.26696010437032247</v>
      </c>
      <c r="I20" s="190">
        <v>0.23357318836627972</v>
      </c>
      <c r="J20" s="190">
        <v>0.20280581541096848</v>
      </c>
      <c r="K20" s="190">
        <v>0.1750247337981829</v>
      </c>
      <c r="L20" s="190">
        <v>0.15072605537165795</v>
      </c>
      <c r="M20" s="190">
        <v>0.13066822456718491</v>
      </c>
      <c r="N20" s="190">
        <v>0.11596367886923546</v>
      </c>
      <c r="O20" s="190">
        <v>0.10801047131699047</v>
      </c>
      <c r="U20" s="190">
        <v>0.50086201787628326</v>
      </c>
      <c r="V20" s="190">
        <v>0.48613356498524407</v>
      </c>
      <c r="W20" s="190">
        <v>0.46046070425805791</v>
      </c>
      <c r="X20" s="190">
        <v>0.4282579794597387</v>
      </c>
      <c r="Y20" s="190">
        <v>0.3930581081885246</v>
      </c>
      <c r="Z20" s="190">
        <v>0.35726311850382275</v>
      </c>
      <c r="AA20" s="190">
        <v>0.32235057895926411</v>
      </c>
      <c r="AB20" s="190">
        <v>0.28914958756874048</v>
      </c>
      <c r="AC20" s="190">
        <v>0.25806782875119028</v>
      </c>
      <c r="AD20" s="190">
        <v>0.22925346676817954</v>
      </c>
      <c r="AE20" s="190">
        <v>0.20270445589003985</v>
      </c>
      <c r="AF20" s="190">
        <v>0.17834169352984236</v>
      </c>
      <c r="AG20" s="190">
        <v>0.15605985225816241</v>
      </c>
      <c r="AH20" s="190">
        <v>0.13576656476594487</v>
      </c>
      <c r="AI20" s="190">
        <v>0.11741832861437165</v>
      </c>
      <c r="AJ20" s="190">
        <v>0.1010598986788602</v>
      </c>
      <c r="AK20" s="190">
        <v>8.6871754449876576E-2</v>
      </c>
      <c r="AL20" s="190">
        <v>7.522381507977996E-2</v>
      </c>
      <c r="AM20" s="190">
        <v>6.6713872924914847E-2</v>
      </c>
      <c r="AN20" s="190">
        <v>6.2119978346320631E-2</v>
      </c>
      <c r="AS20" s="190">
        <v>8</v>
      </c>
      <c r="AT20" s="190">
        <f t="shared" si="18"/>
        <v>0.26239944027644074</v>
      </c>
      <c r="AU20" s="190">
        <f>AT20+(AT15-AT20)*AU$11*AU$10</f>
        <v>0.28696513505024757</v>
      </c>
      <c r="AV20" s="190">
        <f t="shared" si="19"/>
        <v>0.20762681633352964</v>
      </c>
      <c r="AW20" s="190">
        <f>AV20+(AV15-AV20)*AW$11*AW$10</f>
        <v>0.22192218655446341</v>
      </c>
      <c r="BG20" s="190">
        <v>0.530427372254476</v>
      </c>
      <c r="BH20" s="190" t="s">
        <v>615</v>
      </c>
      <c r="BJ20" s="190">
        <v>0.52907759093320916</v>
      </c>
      <c r="BK20" s="190" t="s">
        <v>615</v>
      </c>
      <c r="CF20" s="190">
        <v>1.0000000000002371</v>
      </c>
      <c r="CG20" s="190">
        <v>1.0000008952649104</v>
      </c>
      <c r="CH20" s="190">
        <v>1.0000470071847758</v>
      </c>
      <c r="CJ20" s="190">
        <v>1.0000000000478613</v>
      </c>
      <c r="CK20" s="190">
        <v>1.0000322309137359</v>
      </c>
      <c r="CL20" s="190">
        <v>1.0011673573791424</v>
      </c>
      <c r="CN20" s="190">
        <v>1.0000000000478626</v>
      </c>
      <c r="CO20" s="190">
        <f>CJ20/CN20</f>
        <v>0.99999999999999867</v>
      </c>
      <c r="CP20" s="190">
        <v>1.0011673573791398</v>
      </c>
    </row>
    <row r="21" spans="1:94">
      <c r="A21" s="190">
        <v>0.56236738723928392</v>
      </c>
      <c r="B21" s="190">
        <v>0.53959360508101861</v>
      </c>
      <c r="C21" s="190">
        <v>0.50280888884773478</v>
      </c>
      <c r="D21" s="190">
        <v>0.45952343500144427</v>
      </c>
      <c r="E21" s="190">
        <v>0.41437058482654948</v>
      </c>
      <c r="F21" s="190">
        <v>0.36987625330309304</v>
      </c>
      <c r="G21" s="190">
        <v>0.32731819163254894</v>
      </c>
      <c r="H21" s="190">
        <v>0.28729256803616049</v>
      </c>
      <c r="I21" s="190">
        <v>0.25005204483661159</v>
      </c>
      <c r="J21" s="190">
        <v>0.21571662203262204</v>
      </c>
      <c r="K21" s="190">
        <v>0.18443102430956962</v>
      </c>
      <c r="L21" s="190">
        <v>0.15652335243897586</v>
      </c>
      <c r="M21" s="190">
        <v>0.13271307729635701</v>
      </c>
      <c r="N21" s="190">
        <v>0.11439520426721445</v>
      </c>
      <c r="O21" s="190">
        <v>0.10388127170487485</v>
      </c>
      <c r="U21" s="190">
        <v>0.57147391404586345</v>
      </c>
      <c r="V21" s="190">
        <v>0.54962035196783943</v>
      </c>
      <c r="W21" s="190">
        <v>0.51443263125090488</v>
      </c>
      <c r="X21" s="190">
        <v>0.47320925935460684</v>
      </c>
      <c r="Y21" s="190">
        <v>0.43044827628417315</v>
      </c>
      <c r="Z21" s="190">
        <v>0.38859270414549119</v>
      </c>
      <c r="AA21" s="190">
        <v>0.3488600662158306</v>
      </c>
      <c r="AB21" s="190">
        <v>0.31178282290424808</v>
      </c>
      <c r="AC21" s="190">
        <v>0.27751925848679138</v>
      </c>
      <c r="AD21" s="190">
        <v>0.24602765499946386</v>
      </c>
      <c r="AE21" s="190">
        <v>0.21716503630281878</v>
      </c>
      <c r="AF21" s="190">
        <v>0.19074528589421502</v>
      </c>
      <c r="AG21" s="190">
        <v>0.16657624697844828</v>
      </c>
      <c r="AH21" s="190">
        <v>0.14448785145365886</v>
      </c>
      <c r="AI21" s="190">
        <v>0.12436042682776094</v>
      </c>
      <c r="AJ21" s="190">
        <v>0.10616279567583597</v>
      </c>
      <c r="AK21" s="190">
        <v>9.0013260443614102E-2</v>
      </c>
      <c r="AL21" s="190">
        <v>7.6281220782661002E-2</v>
      </c>
      <c r="AM21" s="190">
        <v>6.5739540606745611E-2</v>
      </c>
      <c r="AN21" s="190">
        <v>5.9696562958066274E-2</v>
      </c>
      <c r="AS21" s="190">
        <v>9</v>
      </c>
      <c r="AT21" s="190">
        <f t="shared" si="18"/>
        <v>0.22198992647386886</v>
      </c>
      <c r="AU21" s="190">
        <f>AT21+(AT14-AT21)*AU$11*AU$10</f>
        <v>0.25734071333833985</v>
      </c>
      <c r="AV21" s="190">
        <f t="shared" si="19"/>
        <v>0.17058619229962796</v>
      </c>
      <c r="AW21" s="190">
        <f>AV21+(AV14-AV21)*AW$11*AW$10</f>
        <v>0.19136913544888329</v>
      </c>
      <c r="BF21" s="190">
        <v>0.185</v>
      </c>
      <c r="BG21" s="190">
        <v>-7.2210618939994475E-2</v>
      </c>
      <c r="BH21" s="190" t="s">
        <v>614</v>
      </c>
      <c r="BJ21" s="190">
        <v>1.5848485260030742E-3</v>
      </c>
      <c r="BK21" s="190" t="s">
        <v>614</v>
      </c>
    </row>
    <row r="22" spans="1:94">
      <c r="A22" s="190">
        <v>0.65609270084865023</v>
      </c>
      <c r="B22" s="190">
        <v>0.61719652041549355</v>
      </c>
      <c r="C22" s="190">
        <v>0.56305017621194919</v>
      </c>
      <c r="D22" s="190">
        <v>0.50574974315741172</v>
      </c>
      <c r="E22" s="190">
        <v>0.45014358949634953</v>
      </c>
      <c r="F22" s="190">
        <v>0.39792620222888414</v>
      </c>
      <c r="G22" s="190">
        <v>0.34951863212437956</v>
      </c>
      <c r="H22" s="190">
        <v>0.30483972833468514</v>
      </c>
      <c r="I22" s="190">
        <v>0.26362560021815079</v>
      </c>
      <c r="J22" s="190">
        <v>0.22557740953881161</v>
      </c>
      <c r="K22" s="190">
        <v>0.19045920542679323</v>
      </c>
      <c r="L22" s="190">
        <v>0.15822308256067652</v>
      </c>
      <c r="M22" s="190">
        <v>0.12926537222937443</v>
      </c>
      <c r="N22" s="190">
        <v>0.10502264677841316</v>
      </c>
      <c r="O22" s="190">
        <v>8.9238005597873066E-2</v>
      </c>
      <c r="U22" s="190">
        <v>0.6639385218598326</v>
      </c>
      <c r="V22" s="190">
        <v>0.62644038485108355</v>
      </c>
      <c r="W22" s="190">
        <v>0.57443919557958489</v>
      </c>
      <c r="X22" s="190">
        <v>0.51969701860311113</v>
      </c>
      <c r="Y22" s="190">
        <v>0.46693178222619003</v>
      </c>
      <c r="Z22" s="190">
        <v>0.41779799376750509</v>
      </c>
      <c r="AA22" s="190">
        <v>0.37271270206778639</v>
      </c>
      <c r="AB22" s="190">
        <v>0.33160084776192345</v>
      </c>
      <c r="AC22" s="190">
        <v>0.2941971441181257</v>
      </c>
      <c r="AD22" s="190">
        <v>0.26017124875334691</v>
      </c>
      <c r="AE22" s="190">
        <v>0.22918113821657898</v>
      </c>
      <c r="AF22" s="190">
        <v>0.20089658205064001</v>
      </c>
      <c r="AG22" s="190">
        <v>0.17501046425908798</v>
      </c>
      <c r="AH22" s="190">
        <v>0.15124670721266015</v>
      </c>
      <c r="AI22" s="190">
        <v>0.1293713659204066</v>
      </c>
      <c r="AJ22" s="190">
        <v>0.10921634130938083</v>
      </c>
      <c r="AK22" s="190">
        <v>9.0736134643475297E-2</v>
      </c>
      <c r="AL22" s="190">
        <v>7.4147248749155764E-2</v>
      </c>
      <c r="AM22" s="190">
        <v>6.0265588717634065E-2</v>
      </c>
      <c r="AN22" s="190">
        <v>5.1229315289003485E-2</v>
      </c>
      <c r="AS22" s="190">
        <v>10</v>
      </c>
      <c r="AT22" s="190">
        <f t="shared" si="18"/>
        <v>0.18780347779689305</v>
      </c>
      <c r="AU22" s="190">
        <f>AT22+(AT13-AT22)*AU$11*AU$10</f>
        <v>0.23493034878663552</v>
      </c>
      <c r="AV22" s="190">
        <f t="shared" si="19"/>
        <v>0.14015361559337433</v>
      </c>
      <c r="AW22" s="190">
        <f>AV22+(AV13-AV22)*AW$11*AW$10</f>
        <v>0.1682292066309273</v>
      </c>
      <c r="BG22" s="190" t="s">
        <v>613</v>
      </c>
    </row>
    <row r="23" spans="1:94">
      <c r="A23" s="190">
        <v>0.78871408181509295</v>
      </c>
      <c r="B23" s="190">
        <v>0.71004947164802779</v>
      </c>
      <c r="C23" s="190">
        <v>0.62644540437486396</v>
      </c>
      <c r="D23" s="190">
        <v>0.55028160373594148</v>
      </c>
      <c r="E23" s="190">
        <v>0.48252764223555428</v>
      </c>
      <c r="F23" s="190">
        <v>0.42216613530887243</v>
      </c>
      <c r="G23" s="190">
        <v>0.36799019946300121</v>
      </c>
      <c r="H23" s="190">
        <v>0.31892190336067705</v>
      </c>
      <c r="I23" s="190">
        <v>0.27403301132294133</v>
      </c>
      <c r="J23" s="190">
        <v>0.23250801179264133</v>
      </c>
      <c r="K23" s="190">
        <v>0.19360511975808753</v>
      </c>
      <c r="L23" s="190">
        <v>0.15664423196002014</v>
      </c>
      <c r="M23" s="190">
        <v>0.12110253422593352</v>
      </c>
      <c r="N23" s="190">
        <v>8.7191877143060703E-2</v>
      </c>
      <c r="O23" s="190">
        <v>5.8809985230595364E-2</v>
      </c>
      <c r="U23" s="190">
        <v>0.79390054512076591</v>
      </c>
      <c r="V23" s="190">
        <v>0.71776264518357658</v>
      </c>
      <c r="W23" s="190">
        <v>0.63718577649189168</v>
      </c>
      <c r="X23" s="190">
        <v>0.56420671086032725</v>
      </c>
      <c r="Y23" s="190">
        <v>0.49978256636986701</v>
      </c>
      <c r="Z23" s="190">
        <v>0.44295338175557081</v>
      </c>
      <c r="AA23" s="190">
        <v>0.39259038621281839</v>
      </c>
      <c r="AB23" s="190">
        <v>0.34770912299343237</v>
      </c>
      <c r="AC23" s="190">
        <v>0.30749556477700868</v>
      </c>
      <c r="AD23" s="190">
        <v>0.27127737151840725</v>
      </c>
      <c r="AE23" s="190">
        <v>0.23848999906026372</v>
      </c>
      <c r="AF23" s="190">
        <v>0.20864778155932925</v>
      </c>
      <c r="AG23" s="190">
        <v>0.18132071931269217</v>
      </c>
      <c r="AH23" s="190">
        <v>0.15611562961286063</v>
      </c>
      <c r="AI23" s="190">
        <v>0.13266057960370672</v>
      </c>
      <c r="AJ23" s="190">
        <v>0.11059379094577168</v>
      </c>
      <c r="AK23" s="190">
        <v>8.9566557439546168E-2</v>
      </c>
      <c r="AL23" s="190">
        <v>6.930507564802138E-2</v>
      </c>
      <c r="AM23" s="190">
        <v>4.9945421635732221E-2</v>
      </c>
      <c r="AN23" s="190">
        <v>3.3725069146952308E-2</v>
      </c>
    </row>
    <row r="24" spans="1:94">
      <c r="A24" s="190">
        <v>1</v>
      </c>
      <c r="B24" s="190">
        <v>0.80784177710663951</v>
      </c>
      <c r="C24" s="190">
        <v>0.68240023129386862</v>
      </c>
      <c r="D24" s="190">
        <v>0.58640346290547329</v>
      </c>
      <c r="E24" s="190">
        <v>0.50751905600813263</v>
      </c>
      <c r="F24" s="190">
        <v>0.44022029685486952</v>
      </c>
      <c r="G24" s="190">
        <v>0.38135391687239345</v>
      </c>
      <c r="H24" s="190">
        <v>0.32882446087608513</v>
      </c>
      <c r="I24" s="190">
        <v>0.28107631973351166</v>
      </c>
      <c r="J24" s="190">
        <v>0.23681630609546808</v>
      </c>
      <c r="K24" s="190">
        <v>0.19480884545716734</v>
      </c>
      <c r="L24" s="190">
        <v>0.1536460290217167</v>
      </c>
      <c r="M24" s="190">
        <v>0.11130852095839877</v>
      </c>
      <c r="N24" s="190">
        <v>6.3832239454439568E-2</v>
      </c>
      <c r="O24" s="190">
        <v>0</v>
      </c>
      <c r="U24" s="190">
        <v>1</v>
      </c>
      <c r="V24" s="190">
        <v>0.81352320458443816</v>
      </c>
      <c r="W24" s="190">
        <v>0.69233366334613078</v>
      </c>
      <c r="X24" s="190">
        <v>0.60016038622945844</v>
      </c>
      <c r="Y24" s="190">
        <v>0.52503711493980854</v>
      </c>
      <c r="Z24" s="190">
        <v>0.46164115236794734</v>
      </c>
      <c r="AA24" s="190">
        <v>0.40698478583004616</v>
      </c>
      <c r="AB24" s="190">
        <v>0.35914804688505142</v>
      </c>
      <c r="AC24" s="190">
        <v>0.31679691065259385</v>
      </c>
      <c r="AD24" s="190">
        <v>0.27895093146028399</v>
      </c>
      <c r="AE24" s="190">
        <v>0.24485196237862478</v>
      </c>
      <c r="AF24" s="190">
        <v>0.21388211439082538</v>
      </c>
      <c r="AG24" s="190">
        <v>0.18550735294700732</v>
      </c>
      <c r="AH24" s="190">
        <v>0.15923295682642424</v>
      </c>
      <c r="AI24" s="190">
        <v>0.13456009982364575</v>
      </c>
      <c r="AJ24" s="190">
        <v>0.11093040569075968</v>
      </c>
      <c r="AK24" s="190">
        <v>8.7630128805152863E-2</v>
      </c>
      <c r="AL24" s="190">
        <v>6.3560180183605625E-2</v>
      </c>
      <c r="AM24" s="190">
        <v>3.6485280408948023E-2</v>
      </c>
      <c r="AN24" s="190">
        <v>0</v>
      </c>
    </row>
    <row r="25" spans="1:94">
      <c r="A25" s="190">
        <v>1</v>
      </c>
      <c r="B25" s="190">
        <v>0.83891733347055431</v>
      </c>
      <c r="C25" s="190">
        <v>0.70891016088490666</v>
      </c>
      <c r="D25" s="190">
        <v>0.60541280511671058</v>
      </c>
      <c r="E25" s="190">
        <v>0.52092464003002514</v>
      </c>
      <c r="F25" s="190">
        <v>0.449841878619475</v>
      </c>
      <c r="G25" s="190">
        <v>0.3883804986167167</v>
      </c>
      <c r="H25" s="190">
        <v>0.33394548818106384</v>
      </c>
      <c r="I25" s="190">
        <v>0.28463128895960021</v>
      </c>
      <c r="J25" s="190">
        <v>0.23887184678598819</v>
      </c>
      <c r="K25" s="190">
        <v>0.19516774494419323</v>
      </c>
      <c r="L25" s="190">
        <v>0.15182236224119561</v>
      </c>
      <c r="M25" s="190">
        <v>0.10665316122530567</v>
      </c>
      <c r="N25" s="190">
        <v>5.6828487700425173E-2</v>
      </c>
      <c r="O25" s="190">
        <v>0</v>
      </c>
      <c r="U25" s="190">
        <v>1</v>
      </c>
      <c r="V25" s="190">
        <v>0.84399603480224639</v>
      </c>
      <c r="W25" s="190">
        <v>0.71846448473770841</v>
      </c>
      <c r="X25" s="190">
        <v>0.61906299797505027</v>
      </c>
      <c r="Y25" s="190">
        <v>0.53856308732379243</v>
      </c>
      <c r="Z25" s="190">
        <v>0.47158788838843396</v>
      </c>
      <c r="AA25" s="190">
        <v>0.41455798352656342</v>
      </c>
      <c r="AB25" s="190">
        <v>0.36509969203150461</v>
      </c>
      <c r="AC25" s="190">
        <v>0.32159135544947898</v>
      </c>
      <c r="AD25" s="190">
        <v>0.28287570293768488</v>
      </c>
      <c r="AE25" s="190">
        <v>0.24808302570136961</v>
      </c>
      <c r="AF25" s="190">
        <v>0.21651961503737985</v>
      </c>
      <c r="AG25" s="190">
        <v>0.18759194269063834</v>
      </c>
      <c r="AH25" s="190">
        <v>0.16074716732388156</v>
      </c>
      <c r="AI25" s="190">
        <v>0.13541501487190055</v>
      </c>
      <c r="AJ25" s="190">
        <v>0.11093633182039704</v>
      </c>
      <c r="AK25" s="190">
        <v>8.6462310417810787E-2</v>
      </c>
      <c r="AL25" s="190">
        <v>6.0819431458179481E-2</v>
      </c>
      <c r="AM25" s="190">
        <v>3.2435042861681071E-2</v>
      </c>
      <c r="AN25" s="190">
        <v>0</v>
      </c>
    </row>
    <row r="27" spans="1:94">
      <c r="S27" s="190">
        <f>SUM(U30:AN36)/140</f>
        <v>0.2876562512565396</v>
      </c>
    </row>
    <row r="29" spans="1:94">
      <c r="A29" s="190">
        <v>0</v>
      </c>
      <c r="B29" s="190">
        <v>0</v>
      </c>
      <c r="C29" s="190">
        <v>0</v>
      </c>
      <c r="D29" s="190">
        <v>0</v>
      </c>
      <c r="E29" s="190">
        <v>0</v>
      </c>
      <c r="F29" s="190">
        <v>0</v>
      </c>
      <c r="G29" s="190">
        <v>0</v>
      </c>
      <c r="H29" s="190">
        <v>0</v>
      </c>
      <c r="I29" s="190">
        <v>0</v>
      </c>
      <c r="J29" s="190">
        <v>0</v>
      </c>
      <c r="K29" s="190">
        <v>0</v>
      </c>
      <c r="L29" s="190">
        <v>0</v>
      </c>
      <c r="M29" s="190">
        <v>0</v>
      </c>
      <c r="N29" s="190">
        <v>0</v>
      </c>
      <c r="O29" s="190">
        <v>0</v>
      </c>
      <c r="P29" s="92" t="s">
        <v>631</v>
      </c>
      <c r="Q29" s="190" t="s">
        <v>630</v>
      </c>
      <c r="S29" s="92" t="s">
        <v>631</v>
      </c>
      <c r="T29" s="190" t="s">
        <v>630</v>
      </c>
      <c r="U29" s="190">
        <v>0</v>
      </c>
      <c r="V29" s="190">
        <v>0</v>
      </c>
      <c r="W29" s="190">
        <v>0</v>
      </c>
      <c r="X29" s="190">
        <v>0</v>
      </c>
      <c r="Y29" s="190">
        <v>0</v>
      </c>
      <c r="Z29" s="190">
        <v>0</v>
      </c>
      <c r="AA29" s="190">
        <v>0</v>
      </c>
      <c r="AB29" s="190">
        <v>0</v>
      </c>
      <c r="AC29" s="190">
        <v>0</v>
      </c>
      <c r="AD29" s="190">
        <v>0</v>
      </c>
      <c r="AE29" s="190">
        <v>0</v>
      </c>
      <c r="AF29" s="190">
        <v>0</v>
      </c>
      <c r="AG29" s="190">
        <v>0</v>
      </c>
      <c r="AH29" s="190">
        <v>0</v>
      </c>
      <c r="AI29" s="190">
        <v>0</v>
      </c>
      <c r="AJ29" s="190">
        <v>0</v>
      </c>
      <c r="AK29" s="190">
        <v>0</v>
      </c>
      <c r="AL29" s="190">
        <v>0</v>
      </c>
      <c r="AM29" s="190">
        <v>0</v>
      </c>
      <c r="AN29" s="190">
        <v>0</v>
      </c>
      <c r="AX29" s="243" t="s">
        <v>815</v>
      </c>
    </row>
    <row r="30" spans="1:94">
      <c r="A30" s="190">
        <v>0.10418632238470782</v>
      </c>
      <c r="B30" s="215">
        <v>0.11078066877899048</v>
      </c>
      <c r="C30" s="215">
        <v>0.1232699308618873</v>
      </c>
      <c r="D30" s="215">
        <v>0.14068774396679043</v>
      </c>
      <c r="E30" s="215">
        <v>0.16213586299685531</v>
      </c>
      <c r="F30" s="215">
        <v>0.18690853191522697</v>
      </c>
      <c r="G30" s="215">
        <v>0.21447459786914347</v>
      </c>
      <c r="H30" s="215">
        <v>0.24438935584756236</v>
      </c>
      <c r="I30" s="215">
        <v>0.27617212202615998</v>
      </c>
      <c r="J30" s="215">
        <v>0.30915893279486228</v>
      </c>
      <c r="K30" s="215">
        <v>0.34233055648770405</v>
      </c>
      <c r="L30" s="215">
        <v>0.3741267487432498</v>
      </c>
      <c r="M30" s="215">
        <v>0.40229785459322004</v>
      </c>
      <c r="N30" s="215">
        <v>0.42392826872304157</v>
      </c>
      <c r="O30" s="215">
        <v>0.43587815594776158</v>
      </c>
      <c r="P30" s="190">
        <f>SUM(A30:O30)/10</f>
        <v>0.38507256539371637</v>
      </c>
      <c r="Q30" s="190">
        <f>P30/P35</f>
        <v>0.68211564128465796</v>
      </c>
      <c r="S30" s="190">
        <f>SUM(U30:AN30)/10</f>
        <v>0.44610546301678583</v>
      </c>
      <c r="T30" s="190">
        <f>S30/S35</f>
        <v>0.81320005792816352</v>
      </c>
      <c r="U30" s="190">
        <v>5.9948602568838882E-2</v>
      </c>
      <c r="V30" s="190">
        <v>6.3771218023418078E-2</v>
      </c>
      <c r="W30" s="190">
        <v>7.1027397662405178E-2</v>
      </c>
      <c r="X30" s="190">
        <v>8.1188936536000539E-2</v>
      </c>
      <c r="Y30" s="190">
        <v>9.3785511123056609E-2</v>
      </c>
      <c r="Z30" s="190">
        <v>0.10848512602986307</v>
      </c>
      <c r="AA30" s="190">
        <v>0.12509884690780002</v>
      </c>
      <c r="AB30" s="190">
        <v>0.14355345893599214</v>
      </c>
      <c r="AC30" s="190">
        <v>0.16385569036096637</v>
      </c>
      <c r="AD30" s="190">
        <v>0.18605611455195498</v>
      </c>
      <c r="AE30" s="190">
        <v>0.21021241552505823</v>
      </c>
      <c r="AF30" s="190">
        <v>0.23634751393787246</v>
      </c>
      <c r="AG30" s="190">
        <v>0.26439567720055035</v>
      </c>
      <c r="AH30" s="190">
        <v>0.29412816684271376</v>
      </c>
      <c r="AI30" s="190">
        <v>0.32504978828965791</v>
      </c>
      <c r="AJ30" s="190">
        <v>0.35626185779718239</v>
      </c>
      <c r="AK30" s="190">
        <v>0.38630274336644993</v>
      </c>
      <c r="AL30" s="190">
        <v>0.41301763132850533</v>
      </c>
      <c r="AM30" s="190">
        <v>0.4335902506937559</v>
      </c>
      <c r="AN30" s="190">
        <v>0.44497768248581571</v>
      </c>
    </row>
    <row r="31" spans="1:94">
      <c r="A31" s="190">
        <v>0.10801047131699047</v>
      </c>
      <c r="B31" s="190">
        <v>0.11596367886923548</v>
      </c>
      <c r="C31" s="190">
        <v>0.13066822456718494</v>
      </c>
      <c r="D31" s="190">
        <v>0.15072605537165795</v>
      </c>
      <c r="E31" s="190">
        <v>0.1750247337981829</v>
      </c>
      <c r="F31" s="190">
        <v>0.20280581541096845</v>
      </c>
      <c r="G31" s="190">
        <v>0.23357318836627966</v>
      </c>
      <c r="H31" s="190">
        <v>0.26696010437032242</v>
      </c>
      <c r="I31" s="190">
        <v>0.3025851123745158</v>
      </c>
      <c r="J31" s="190">
        <v>0.3398898404921375</v>
      </c>
      <c r="K31" s="190">
        <v>0.37793887796678843</v>
      </c>
      <c r="L31" s="190">
        <v>0.41516435296028936</v>
      </c>
      <c r="M31" s="190">
        <v>0.44906818341811117</v>
      </c>
      <c r="N31" s="190">
        <v>0.47600148140603338</v>
      </c>
      <c r="O31" s="190">
        <v>0.49141572186012716</v>
      </c>
      <c r="U31" s="190">
        <v>6.2119978346320617E-2</v>
      </c>
      <c r="V31" s="190">
        <v>6.6713872924914847E-2</v>
      </c>
      <c r="W31" s="190">
        <v>7.5223815079779974E-2</v>
      </c>
      <c r="X31" s="190">
        <v>8.687175444987659E-2</v>
      </c>
      <c r="Y31" s="190">
        <v>0.1010598986788602</v>
      </c>
      <c r="Z31" s="190">
        <v>0.11741832861437165</v>
      </c>
      <c r="AA31" s="190">
        <v>0.13576656476594487</v>
      </c>
      <c r="AB31" s="190">
        <v>0.15605985225816241</v>
      </c>
      <c r="AC31" s="190">
        <v>0.17834169352984236</v>
      </c>
      <c r="AD31" s="190">
        <v>0.20270445589003985</v>
      </c>
      <c r="AE31" s="190">
        <v>0.22925346676817956</v>
      </c>
      <c r="AF31" s="190">
        <v>0.25806782875119028</v>
      </c>
      <c r="AG31" s="190">
        <v>0.28914958756874054</v>
      </c>
      <c r="AH31" s="190">
        <v>0.32235057895926411</v>
      </c>
      <c r="AI31" s="190">
        <v>0.35726311850382275</v>
      </c>
      <c r="AJ31" s="190">
        <v>0.3930581081885246</v>
      </c>
      <c r="AK31" s="190">
        <v>0.4282579794597387</v>
      </c>
      <c r="AL31" s="190">
        <v>0.46046070425805796</v>
      </c>
      <c r="AM31" s="190">
        <v>0.48613356498524413</v>
      </c>
      <c r="AN31" s="190">
        <v>0.50086201787628326</v>
      </c>
      <c r="AT31" s="86" t="s">
        <v>597</v>
      </c>
      <c r="BI31" s="190" t="s">
        <v>657</v>
      </c>
    </row>
    <row r="32" spans="1:94">
      <c r="A32" s="190">
        <v>0.10388127170487486</v>
      </c>
      <c r="B32" s="190">
        <v>0.11439520426721446</v>
      </c>
      <c r="C32" s="190">
        <v>0.13271307729635701</v>
      </c>
      <c r="D32" s="190">
        <v>0.15652335243897586</v>
      </c>
      <c r="E32" s="190">
        <v>0.18443102430956965</v>
      </c>
      <c r="F32" s="190">
        <v>0.21571662203262207</v>
      </c>
      <c r="G32" s="190">
        <v>0.25005204483661153</v>
      </c>
      <c r="H32" s="190">
        <v>0.28729256803616043</v>
      </c>
      <c r="I32" s="190">
        <v>0.32731819163254894</v>
      </c>
      <c r="J32" s="190">
        <v>0.36987625330309293</v>
      </c>
      <c r="K32" s="190">
        <v>0.41437058482654937</v>
      </c>
      <c r="L32" s="190">
        <v>0.45952343500144421</v>
      </c>
      <c r="M32" s="190">
        <v>0.50280888884773467</v>
      </c>
      <c r="N32" s="190">
        <v>0.53959360508101839</v>
      </c>
      <c r="O32" s="190">
        <v>0.56236738723928381</v>
      </c>
      <c r="U32" s="190">
        <v>5.9696562958066267E-2</v>
      </c>
      <c r="V32" s="190">
        <v>6.5739540606745597E-2</v>
      </c>
      <c r="W32" s="190">
        <v>7.6281220782661002E-2</v>
      </c>
      <c r="X32" s="190">
        <v>9.0013260443614102E-2</v>
      </c>
      <c r="Y32" s="190">
        <v>0.10616279567583599</v>
      </c>
      <c r="Z32" s="190">
        <v>0.12436042682776094</v>
      </c>
      <c r="AA32" s="190">
        <v>0.14448785145365889</v>
      </c>
      <c r="AB32" s="190">
        <v>0.16657624697844828</v>
      </c>
      <c r="AC32" s="190">
        <v>0.19074528589421502</v>
      </c>
      <c r="AD32" s="190">
        <v>0.21716503630281878</v>
      </c>
      <c r="AE32" s="190">
        <v>0.24602765499946389</v>
      </c>
      <c r="AF32" s="190">
        <v>0.27751925848679143</v>
      </c>
      <c r="AG32" s="190">
        <v>0.31178282290424808</v>
      </c>
      <c r="AH32" s="190">
        <v>0.3488600662158306</v>
      </c>
      <c r="AI32" s="190">
        <v>0.38859270414549119</v>
      </c>
      <c r="AJ32" s="190">
        <v>0.43044827628417315</v>
      </c>
      <c r="AK32" s="190">
        <v>0.47320925935460684</v>
      </c>
      <c r="AL32" s="190">
        <v>0.51443263125090488</v>
      </c>
      <c r="AM32" s="190">
        <v>0.54962035196783954</v>
      </c>
      <c r="AN32" s="190">
        <v>0.57147391404586345</v>
      </c>
      <c r="AT32" s="71" t="s">
        <v>656</v>
      </c>
      <c r="BH32" s="71" t="s">
        <v>653</v>
      </c>
      <c r="BV32" s="71" t="s">
        <v>655</v>
      </c>
      <c r="CJ32" s="234" t="s">
        <v>673</v>
      </c>
    </row>
    <row r="33" spans="1:100">
      <c r="A33" s="190">
        <v>8.9238005597873066E-2</v>
      </c>
      <c r="B33" s="190">
        <v>0.10502264677841318</v>
      </c>
      <c r="C33" s="190">
        <v>0.12926537222937443</v>
      </c>
      <c r="D33" s="190">
        <v>0.15822308256067652</v>
      </c>
      <c r="E33" s="190">
        <v>0.19045920542679323</v>
      </c>
      <c r="F33" s="190">
        <v>0.22557740953881164</v>
      </c>
      <c r="G33" s="190">
        <v>0.26362560021815079</v>
      </c>
      <c r="H33" s="190">
        <v>0.30483972833468514</v>
      </c>
      <c r="I33" s="190">
        <v>0.3495186321243795</v>
      </c>
      <c r="J33" s="190">
        <v>0.39792620222888403</v>
      </c>
      <c r="K33" s="190">
        <v>0.45014358949634953</v>
      </c>
      <c r="L33" s="190">
        <v>0.50574974315741161</v>
      </c>
      <c r="M33" s="190">
        <v>0.56305017621194919</v>
      </c>
      <c r="N33" s="190">
        <v>0.61719652041549344</v>
      </c>
      <c r="O33" s="190">
        <v>0.65609270084865012</v>
      </c>
      <c r="P33" s="190">
        <f>A34+B35+B36</f>
        <v>0.17947071238546008</v>
      </c>
      <c r="Q33" s="190">
        <f>P33/P35</f>
        <v>0.31791353389576005</v>
      </c>
      <c r="S33" s="190">
        <f>U34+V35+V36</f>
        <v>0.10264539241758142</v>
      </c>
      <c r="T33" s="190">
        <f>S33/S35</f>
        <v>0.18711099948331159</v>
      </c>
      <c r="U33" s="190">
        <v>5.1229315289003478E-2</v>
      </c>
      <c r="V33" s="190">
        <v>6.0265588717634065E-2</v>
      </c>
      <c r="W33" s="190">
        <v>7.4147248749155764E-2</v>
      </c>
      <c r="X33" s="190">
        <v>9.0736134643475325E-2</v>
      </c>
      <c r="Y33" s="190">
        <v>0.10921634130938086</v>
      </c>
      <c r="Z33" s="190">
        <v>0.1293713659204066</v>
      </c>
      <c r="AA33" s="190">
        <v>0.15124670721266018</v>
      </c>
      <c r="AB33" s="190">
        <v>0.17501046425908798</v>
      </c>
      <c r="AC33" s="190">
        <v>0.20089658205064004</v>
      </c>
      <c r="AD33" s="190">
        <v>0.22918113821657898</v>
      </c>
      <c r="AE33" s="190">
        <v>0.26017124875334691</v>
      </c>
      <c r="AF33" s="190">
        <v>0.2941971441181257</v>
      </c>
      <c r="AG33" s="190">
        <v>0.33160084776192345</v>
      </c>
      <c r="AH33" s="190">
        <v>0.37271270206778639</v>
      </c>
      <c r="AI33" s="190">
        <v>0.41779799376750515</v>
      </c>
      <c r="AJ33" s="190">
        <v>0.46693178222619003</v>
      </c>
      <c r="AK33" s="190">
        <v>0.51969701860311135</v>
      </c>
      <c r="AL33" s="190">
        <v>0.57443919557958512</v>
      </c>
      <c r="AM33" s="190">
        <v>0.62644038485108366</v>
      </c>
      <c r="AN33" s="190">
        <v>0.6639385218598326</v>
      </c>
      <c r="AT33" s="221" t="s">
        <v>671</v>
      </c>
      <c r="AU33" s="221">
        <v>375</v>
      </c>
      <c r="AV33" s="229">
        <v>187.5</v>
      </c>
      <c r="AW33" s="221">
        <v>125</v>
      </c>
      <c r="AX33" s="221">
        <v>93.75</v>
      </c>
      <c r="AY33" s="221">
        <v>75</v>
      </c>
      <c r="AZ33" s="221">
        <v>50</v>
      </c>
      <c r="BA33" s="221">
        <v>37.5</v>
      </c>
      <c r="BB33" s="221">
        <v>25</v>
      </c>
      <c r="BC33" s="221">
        <v>18.75</v>
      </c>
      <c r="BD33" s="221">
        <v>15</v>
      </c>
      <c r="BE33" s="221">
        <v>12.5</v>
      </c>
      <c r="BF33" s="221">
        <v>10.714285714285715</v>
      </c>
      <c r="BG33" s="221"/>
      <c r="BH33" s="221"/>
      <c r="BI33" s="221">
        <v>750</v>
      </c>
      <c r="BJ33" s="221">
        <v>375</v>
      </c>
      <c r="BK33" s="221">
        <v>250</v>
      </c>
      <c r="BL33" s="229">
        <v>187.5</v>
      </c>
      <c r="BM33" s="221">
        <v>150</v>
      </c>
      <c r="BN33" s="221">
        <v>100</v>
      </c>
      <c r="BO33" s="221">
        <v>75</v>
      </c>
      <c r="BP33" s="221">
        <v>50</v>
      </c>
      <c r="BQ33" s="221">
        <v>37.5</v>
      </c>
      <c r="BR33" s="221">
        <v>30</v>
      </c>
      <c r="BS33" s="221">
        <v>25</v>
      </c>
      <c r="BT33" s="221">
        <v>21.428571428571431</v>
      </c>
      <c r="BU33" s="221"/>
      <c r="BV33" s="221" t="s">
        <v>671</v>
      </c>
      <c r="BW33" s="221">
        <v>1500</v>
      </c>
      <c r="BX33" s="221">
        <v>750</v>
      </c>
      <c r="BY33" s="221">
        <v>500</v>
      </c>
      <c r="BZ33" s="221">
        <v>375</v>
      </c>
      <c r="CA33" s="221">
        <v>300</v>
      </c>
      <c r="CB33" s="229">
        <v>200</v>
      </c>
      <c r="CC33" s="221">
        <v>150</v>
      </c>
      <c r="CD33" s="221">
        <v>100</v>
      </c>
      <c r="CE33" s="221">
        <v>75</v>
      </c>
      <c r="CF33" s="221">
        <v>60</v>
      </c>
      <c r="CG33" s="221">
        <v>50</v>
      </c>
      <c r="CH33" s="221">
        <v>42.857142857142861</v>
      </c>
      <c r="CJ33" s="234"/>
      <c r="CK33" s="168">
        <v>10</v>
      </c>
      <c r="CL33" s="180">
        <v>20</v>
      </c>
      <c r="CM33" s="180">
        <v>30</v>
      </c>
      <c r="CN33" s="180">
        <v>50</v>
      </c>
      <c r="CO33" s="180">
        <v>70</v>
      </c>
      <c r="CP33" s="180">
        <v>90</v>
      </c>
      <c r="CQ33" s="180">
        <v>110</v>
      </c>
      <c r="CR33" s="180">
        <v>130</v>
      </c>
      <c r="CS33" s="180">
        <v>150</v>
      </c>
      <c r="CT33" s="180">
        <v>170</v>
      </c>
      <c r="CU33" s="180">
        <v>190</v>
      </c>
      <c r="CV33" s="180">
        <v>210</v>
      </c>
    </row>
    <row r="34" spans="1:100">
      <c r="A34" s="190">
        <v>5.8809985230595364E-2</v>
      </c>
      <c r="B34" s="190">
        <v>8.7191877143060689E-2</v>
      </c>
      <c r="C34" s="190">
        <v>0.12110253422593351</v>
      </c>
      <c r="D34" s="190">
        <v>0.15664423196002014</v>
      </c>
      <c r="E34" s="190">
        <v>0.19360511975808753</v>
      </c>
      <c r="F34" s="190">
        <v>0.23250801179264136</v>
      </c>
      <c r="G34" s="190">
        <v>0.27403301132294133</v>
      </c>
      <c r="H34" s="190">
        <v>0.31892190336067705</v>
      </c>
      <c r="I34" s="190">
        <v>0.3679901994630011</v>
      </c>
      <c r="J34" s="190">
        <v>0.42216613530887231</v>
      </c>
      <c r="K34" s="190">
        <v>0.48252764223555422</v>
      </c>
      <c r="L34" s="190">
        <v>0.55028160373594137</v>
      </c>
      <c r="M34" s="190">
        <v>0.62644540437486373</v>
      </c>
      <c r="N34" s="190">
        <v>0.71004947164802767</v>
      </c>
      <c r="O34" s="190">
        <v>0.78871408181509284</v>
      </c>
      <c r="U34" s="190">
        <v>3.3725069146952308E-2</v>
      </c>
      <c r="V34" s="190">
        <v>4.9945421635732228E-2</v>
      </c>
      <c r="W34" s="190">
        <v>6.9305075648021408E-2</v>
      </c>
      <c r="X34" s="190">
        <v>8.956655743954621E-2</v>
      </c>
      <c r="Y34" s="190">
        <v>0.11059379094577169</v>
      </c>
      <c r="Z34" s="190">
        <v>0.13266057960370672</v>
      </c>
      <c r="AA34" s="190">
        <v>0.15611562961286063</v>
      </c>
      <c r="AB34" s="190">
        <v>0.18132071931269217</v>
      </c>
      <c r="AC34" s="190">
        <v>0.20864778155932928</v>
      </c>
      <c r="AD34" s="190">
        <v>0.23848999906026372</v>
      </c>
      <c r="AE34" s="190">
        <v>0.27127737151840714</v>
      </c>
      <c r="AF34" s="190">
        <v>0.30749556477700857</v>
      </c>
      <c r="AG34" s="190">
        <v>0.34770912299343237</v>
      </c>
      <c r="AH34" s="190">
        <v>0.39259038621281844</v>
      </c>
      <c r="AI34" s="190">
        <v>0.44295338175557086</v>
      </c>
      <c r="AJ34" s="190">
        <v>0.49978256636986707</v>
      </c>
      <c r="AK34" s="190">
        <v>0.56420671086032725</v>
      </c>
      <c r="AL34" s="190">
        <v>0.63718577649189179</v>
      </c>
      <c r="AM34" s="190">
        <v>0.71776264518357658</v>
      </c>
      <c r="AN34" s="190">
        <v>0.79390054512076591</v>
      </c>
      <c r="AT34" s="222" t="s">
        <v>654</v>
      </c>
      <c r="AU34" s="223">
        <v>0.02</v>
      </c>
      <c r="AV34" s="223">
        <v>0.04</v>
      </c>
      <c r="AW34" s="223">
        <v>0.06</v>
      </c>
      <c r="AX34" s="223">
        <v>0.08</v>
      </c>
      <c r="AY34" s="223">
        <v>0.1</v>
      </c>
      <c r="AZ34" s="224">
        <v>0.15</v>
      </c>
      <c r="BA34" s="224">
        <v>0.2</v>
      </c>
      <c r="BB34" s="223">
        <v>0.3</v>
      </c>
      <c r="BC34" s="223">
        <v>0.4</v>
      </c>
      <c r="BD34" s="223">
        <v>0.5</v>
      </c>
      <c r="BE34" s="223">
        <v>0.6</v>
      </c>
      <c r="BF34" s="225">
        <v>0.7</v>
      </c>
      <c r="BG34" s="221"/>
      <c r="BH34" s="222" t="s">
        <v>654</v>
      </c>
      <c r="BI34" s="223">
        <v>0.02</v>
      </c>
      <c r="BJ34" s="223">
        <v>0.04</v>
      </c>
      <c r="BK34" s="223">
        <v>0.06</v>
      </c>
      <c r="BL34" s="223">
        <v>0.08</v>
      </c>
      <c r="BM34" s="223">
        <v>0.1</v>
      </c>
      <c r="BN34" s="224">
        <v>0.15</v>
      </c>
      <c r="BO34" s="224">
        <v>0.2</v>
      </c>
      <c r="BP34" s="223">
        <v>0.3</v>
      </c>
      <c r="BQ34" s="223">
        <v>0.4</v>
      </c>
      <c r="BR34" s="223">
        <v>0.5</v>
      </c>
      <c r="BS34" s="223">
        <v>0.6</v>
      </c>
      <c r="BT34" s="225">
        <v>0.7</v>
      </c>
      <c r="BU34" s="221"/>
      <c r="BV34" s="222" t="s">
        <v>654</v>
      </c>
      <c r="BW34" s="223">
        <v>0.02</v>
      </c>
      <c r="BX34" s="223">
        <v>0.04</v>
      </c>
      <c r="BY34" s="223">
        <v>0.06</v>
      </c>
      <c r="BZ34" s="223">
        <v>0.08</v>
      </c>
      <c r="CA34" s="223">
        <v>0.1</v>
      </c>
      <c r="CB34" s="224">
        <v>0.15</v>
      </c>
      <c r="CC34" s="224">
        <v>0.2</v>
      </c>
      <c r="CD34" s="223">
        <v>0.3</v>
      </c>
      <c r="CE34" s="223">
        <v>0.4</v>
      </c>
      <c r="CF34" s="223">
        <v>0.5</v>
      </c>
      <c r="CG34" s="223">
        <v>0.6</v>
      </c>
      <c r="CH34" s="225">
        <v>0.7</v>
      </c>
      <c r="CJ34" s="234">
        <v>0.1</v>
      </c>
      <c r="CK34" s="165">
        <v>0.98846833947731583</v>
      </c>
      <c r="CL34" s="166">
        <v>0.96596342534178947</v>
      </c>
      <c r="CM34" s="166">
        <v>0.93644622373851871</v>
      </c>
      <c r="CN34" s="166">
        <v>0.86326779138587206</v>
      </c>
      <c r="CO34" s="166">
        <v>0.77877296777264804</v>
      </c>
      <c r="CP34" s="166">
        <v>0.68953555593267424</v>
      </c>
      <c r="CQ34" s="166">
        <v>0.60036043087172464</v>
      </c>
      <c r="CR34" s="166">
        <v>0.51472414876754902</v>
      </c>
      <c r="CS34" s="166">
        <v>0.43501339658173077</v>
      </c>
      <c r="CT34" s="166">
        <v>0.362713219893952</v>
      </c>
      <c r="CU34" s="166">
        <v>0.29857933544852766</v>
      </c>
      <c r="CV34" s="167">
        <v>0.24279938258501835</v>
      </c>
    </row>
    <row r="35" spans="1:100">
      <c r="A35" s="190">
        <v>0</v>
      </c>
      <c r="B35" s="190">
        <v>6.3832239454439554E-2</v>
      </c>
      <c r="C35" s="190">
        <v>0.11130852095839877</v>
      </c>
      <c r="D35" s="190">
        <v>0.1536460290217167</v>
      </c>
      <c r="E35" s="190">
        <v>0.19480884545716734</v>
      </c>
      <c r="F35" s="190">
        <v>0.23681630609546805</v>
      </c>
      <c r="G35" s="190">
        <v>0.28107631973351166</v>
      </c>
      <c r="H35" s="190">
        <v>0.32882446087608508</v>
      </c>
      <c r="I35" s="190">
        <v>0.38135391687239339</v>
      </c>
      <c r="J35" s="190">
        <v>0.44022029685486935</v>
      </c>
      <c r="K35" s="190">
        <v>0.50751905600813241</v>
      </c>
      <c r="L35" s="190">
        <v>0.58640346290547318</v>
      </c>
      <c r="M35" s="190">
        <v>0.6824002312938684</v>
      </c>
      <c r="N35" s="190">
        <v>0.80784177710663929</v>
      </c>
      <c r="O35" s="190">
        <v>1</v>
      </c>
      <c r="P35" s="190">
        <f>3-N36-N35-O34</f>
        <v>0.56452680760771368</v>
      </c>
      <c r="S35" s="190">
        <f>3-AM36-AM35-AN34</f>
        <v>0.54858021549254965</v>
      </c>
      <c r="U35" s="190">
        <v>0</v>
      </c>
      <c r="V35" s="190">
        <v>3.6485280408948023E-2</v>
      </c>
      <c r="W35" s="190">
        <v>6.3560180183605638E-2</v>
      </c>
      <c r="X35" s="190">
        <v>8.763012880515289E-2</v>
      </c>
      <c r="Y35" s="190">
        <v>0.11093040569075972</v>
      </c>
      <c r="Z35" s="190">
        <v>0.13456009982364578</v>
      </c>
      <c r="AA35" s="190">
        <v>0.15923295682642424</v>
      </c>
      <c r="AB35" s="190">
        <v>0.18550735294700729</v>
      </c>
      <c r="AC35" s="190">
        <v>0.21388211439082538</v>
      </c>
      <c r="AD35" s="190">
        <v>0.24485196237862475</v>
      </c>
      <c r="AE35" s="190">
        <v>0.27895093146028399</v>
      </c>
      <c r="AF35" s="190">
        <v>0.3167969106525938</v>
      </c>
      <c r="AG35" s="190">
        <v>0.35914804688505136</v>
      </c>
      <c r="AH35" s="190">
        <v>0.4069847858300461</v>
      </c>
      <c r="AI35" s="190">
        <v>0.46164115236794734</v>
      </c>
      <c r="AJ35" s="190">
        <v>0.52503711493980854</v>
      </c>
      <c r="AK35" s="190">
        <v>0.60016038622945844</v>
      </c>
      <c r="AL35" s="190">
        <v>0.69233366334613078</v>
      </c>
      <c r="AM35" s="190">
        <v>0.81352320458443816</v>
      </c>
      <c r="AN35" s="190">
        <v>1</v>
      </c>
      <c r="AT35" s="226" t="s">
        <v>668</v>
      </c>
      <c r="AU35" s="221">
        <v>3.859004887995146</v>
      </c>
      <c r="AV35" s="221">
        <v>4.5004683817065985</v>
      </c>
      <c r="AW35" s="221">
        <v>4.7413720258263607</v>
      </c>
      <c r="AX35" s="221">
        <v>4.8051744544434198</v>
      </c>
      <c r="AY35" s="221">
        <v>4.7670956503240394</v>
      </c>
      <c r="AZ35" s="221">
        <v>4.4471381705485387</v>
      </c>
      <c r="BA35" s="221">
        <v>4.0161168828473865</v>
      </c>
      <c r="BB35" s="221">
        <v>3.2166859288801803</v>
      </c>
      <c r="BC35" s="221">
        <v>2.6192690649520758</v>
      </c>
      <c r="BD35" s="221">
        <v>2.187810920782681</v>
      </c>
      <c r="BE35" s="221">
        <v>1.8698810128633461</v>
      </c>
      <c r="BF35" s="221">
        <v>1.628718461426359</v>
      </c>
      <c r="BG35" s="221"/>
      <c r="BH35" s="226" t="s">
        <v>668</v>
      </c>
      <c r="BI35" s="221">
        <v>1.7984030120940679</v>
      </c>
      <c r="BJ35" s="221">
        <v>2.4999012898717652</v>
      </c>
      <c r="BK35" s="221">
        <v>2.9205766004136691</v>
      </c>
      <c r="BL35" s="221">
        <v>3.1819357712820038</v>
      </c>
      <c r="BM35" s="221">
        <v>3.3362851235268294</v>
      </c>
      <c r="BN35" s="221">
        <v>3.4295230029699559</v>
      </c>
      <c r="BO35" s="221">
        <v>3.2984396948389962</v>
      </c>
      <c r="BP35" s="221">
        <v>2.8434780498657228</v>
      </c>
      <c r="BQ35" s="221">
        <v>2.4070128240531687</v>
      </c>
      <c r="BR35" s="221">
        <v>2.0566617088961676</v>
      </c>
      <c r="BS35" s="221">
        <v>1.7832502868602647</v>
      </c>
      <c r="BT35" s="221">
        <v>1.568402397553424</v>
      </c>
      <c r="BU35" s="221"/>
      <c r="BV35" s="226" t="s">
        <v>668</v>
      </c>
      <c r="BW35" s="221">
        <v>0.61957970350963165</v>
      </c>
      <c r="BX35" s="221">
        <v>0.92412483275689417</v>
      </c>
      <c r="BY35" s="221">
        <v>1.1639965025935584</v>
      </c>
      <c r="BZ35" s="221">
        <v>1.3640133009027999</v>
      </c>
      <c r="CA35" s="221">
        <v>1.5324000045041575</v>
      </c>
      <c r="CB35" s="221">
        <v>1.8351424399937613</v>
      </c>
      <c r="CC35" s="221">
        <v>1.9948954370090408</v>
      </c>
      <c r="CD35" s="221">
        <v>2.0323419883705656</v>
      </c>
      <c r="CE35" s="221">
        <v>1.8983374816061187</v>
      </c>
      <c r="CF35" s="221">
        <v>1.7235670720363461</v>
      </c>
      <c r="CG35" s="221">
        <v>1.5548934266913972</v>
      </c>
      <c r="CH35" s="221">
        <v>1.4053483171435479</v>
      </c>
      <c r="CJ35" s="234">
        <v>0.2</v>
      </c>
      <c r="CK35" s="179">
        <v>0.9824044624401661</v>
      </c>
      <c r="CL35" s="180">
        <v>0.9483786725173774</v>
      </c>
      <c r="CM35" s="180">
        <v>0.90438521719592002</v>
      </c>
      <c r="CN35" s="180">
        <v>0.79848805918743992</v>
      </c>
      <c r="CO35" s="180">
        <v>0.68202514950623405</v>
      </c>
      <c r="CP35" s="180">
        <v>0.56611558678939966</v>
      </c>
      <c r="CQ35" s="180">
        <v>0.45798537526635991</v>
      </c>
      <c r="CR35" s="180">
        <v>0.36187148545730613</v>
      </c>
      <c r="CS35" s="180">
        <v>0.27971460742160387</v>
      </c>
      <c r="CT35" s="180">
        <v>0.2117852755050296</v>
      </c>
      <c r="CU35" s="180">
        <v>0.15723885600467447</v>
      </c>
      <c r="CV35" s="202">
        <v>0.11457743310079116</v>
      </c>
    </row>
    <row r="36" spans="1:100">
      <c r="A36" s="190">
        <v>0</v>
      </c>
      <c r="B36" s="190">
        <v>5.6828487700425166E-2</v>
      </c>
      <c r="C36" s="190">
        <v>0.10665316122530569</v>
      </c>
      <c r="D36" s="190">
        <v>0.15182236224119561</v>
      </c>
      <c r="E36" s="190">
        <v>0.19516774494419323</v>
      </c>
      <c r="F36" s="190">
        <v>0.23887184678598819</v>
      </c>
      <c r="G36" s="190">
        <v>0.28463128895960021</v>
      </c>
      <c r="H36" s="190">
        <v>0.33394548818106384</v>
      </c>
      <c r="I36" s="190">
        <v>0.3883804986167167</v>
      </c>
      <c r="J36" s="190">
        <v>0.44984187861947494</v>
      </c>
      <c r="K36" s="190">
        <v>0.52092464003002503</v>
      </c>
      <c r="L36" s="190">
        <v>0.60541280511671047</v>
      </c>
      <c r="M36" s="190">
        <v>0.70891016088490644</v>
      </c>
      <c r="N36" s="190">
        <v>0.83891733347055419</v>
      </c>
      <c r="O36" s="190">
        <v>1</v>
      </c>
      <c r="U36" s="190">
        <v>0</v>
      </c>
      <c r="V36" s="190">
        <v>3.2435042861681085E-2</v>
      </c>
      <c r="W36" s="190">
        <v>6.0819431458179488E-2</v>
      </c>
      <c r="X36" s="190">
        <v>8.64623104178108E-2</v>
      </c>
      <c r="Y36" s="190">
        <v>0.11093633182039708</v>
      </c>
      <c r="Z36" s="190">
        <v>0.13541501487190058</v>
      </c>
      <c r="AA36" s="190">
        <v>0.16074716732388156</v>
      </c>
      <c r="AB36" s="190">
        <v>0.18759194269063834</v>
      </c>
      <c r="AC36" s="190">
        <v>0.21651961503737985</v>
      </c>
      <c r="AD36" s="190">
        <v>0.24808302570136959</v>
      </c>
      <c r="AE36" s="190">
        <v>0.28287570293768488</v>
      </c>
      <c r="AF36" s="190">
        <v>0.32159135544947892</v>
      </c>
      <c r="AG36" s="190">
        <v>0.3650996920315045</v>
      </c>
      <c r="AH36" s="190">
        <v>0.41455798352656342</v>
      </c>
      <c r="AI36" s="190">
        <v>0.47158788838843402</v>
      </c>
      <c r="AJ36" s="190">
        <v>0.53856308732379243</v>
      </c>
      <c r="AK36" s="190">
        <v>0.61906299797505027</v>
      </c>
      <c r="AL36" s="190">
        <v>0.71846448473770841</v>
      </c>
      <c r="AM36" s="190">
        <v>0.84399603480224639</v>
      </c>
      <c r="AN36" s="190">
        <v>1</v>
      </c>
      <c r="AT36" s="227">
        <v>10</v>
      </c>
      <c r="AU36" s="221">
        <v>4.5536664874580195</v>
      </c>
      <c r="AV36" s="221">
        <v>5.0544307324426088</v>
      </c>
      <c r="AW36" s="221">
        <v>5.196933069567355</v>
      </c>
      <c r="AX36" s="221">
        <v>5.1850668716972645</v>
      </c>
      <c r="AY36" s="221">
        <v>5.0858593267786683</v>
      </c>
      <c r="AZ36" s="221">
        <v>4.6557270004954407</v>
      </c>
      <c r="BA36" s="221">
        <v>4.1557254253213269</v>
      </c>
      <c r="BB36" s="221">
        <v>3.2850784031999698</v>
      </c>
      <c r="BC36" s="221">
        <v>2.6569797599374683</v>
      </c>
      <c r="BD36" s="221">
        <v>2.2106969475229525</v>
      </c>
      <c r="BE36" s="221">
        <v>1.8848281339744279</v>
      </c>
      <c r="BF36" s="221">
        <v>1.6390463135210362</v>
      </c>
      <c r="BG36" s="221"/>
      <c r="BH36" s="227">
        <v>10</v>
      </c>
      <c r="BI36" s="221">
        <v>2.5108428893243144</v>
      </c>
      <c r="BJ36" s="221">
        <v>3.2721779297696543</v>
      </c>
      <c r="BK36" s="221">
        <v>3.6629050343695799</v>
      </c>
      <c r="BL36" s="221">
        <v>3.8671844995880771</v>
      </c>
      <c r="BM36" s="221">
        <v>3.9556297925403059</v>
      </c>
      <c r="BN36" s="221">
        <v>3.8884918910822539</v>
      </c>
      <c r="BO36" s="221">
        <v>3.630310481308284</v>
      </c>
      <c r="BP36" s="221">
        <v>3.0208974169931597</v>
      </c>
      <c r="BQ36" s="221">
        <v>2.5093403398048713</v>
      </c>
      <c r="BR36" s="221">
        <v>2.1203964410587419</v>
      </c>
      <c r="BS36" s="221">
        <v>1.8255617985625239</v>
      </c>
      <c r="BT36" s="221">
        <v>1.5979604268335161</v>
      </c>
      <c r="BU36" s="221"/>
      <c r="BV36" s="227">
        <v>10</v>
      </c>
      <c r="BW36" s="221">
        <v>0.92422225970056959</v>
      </c>
      <c r="BX36" s="221">
        <v>1.36836850704197</v>
      </c>
      <c r="BY36" s="221">
        <v>1.6988563645520427</v>
      </c>
      <c r="BZ36" s="221">
        <v>1.9539355084928745</v>
      </c>
      <c r="CA36" s="221">
        <v>2.1496297474110215</v>
      </c>
      <c r="CB36" s="221">
        <v>2.4375979060032247</v>
      </c>
      <c r="CC36" s="221">
        <v>2.5214601025729055</v>
      </c>
      <c r="CD36" s="221">
        <v>2.386699795370558</v>
      </c>
      <c r="CE36" s="221">
        <v>2.1298445319353325</v>
      </c>
      <c r="CF36" s="221">
        <v>1.8787948179546845</v>
      </c>
      <c r="CG36" s="221">
        <v>1.6629062743334098</v>
      </c>
      <c r="CH36" s="221">
        <v>1.4832459940082523</v>
      </c>
      <c r="CJ36" s="234">
        <v>0.3</v>
      </c>
      <c r="CK36" s="179">
        <v>0.97972868103017718</v>
      </c>
      <c r="CL36" s="180">
        <v>0.9406873162199727</v>
      </c>
      <c r="CM36" s="180">
        <v>0.89052815457008749</v>
      </c>
      <c r="CN36" s="180">
        <v>0.77135281648127185</v>
      </c>
      <c r="CO36" s="180">
        <v>0.64308101705177112</v>
      </c>
      <c r="CP36" s="180">
        <v>0.51873047609317047</v>
      </c>
      <c r="CQ36" s="180">
        <v>0.4062050114984993</v>
      </c>
      <c r="CR36" s="180">
        <v>0.30955028609422158</v>
      </c>
      <c r="CS36" s="180">
        <v>0.22999010776974724</v>
      </c>
      <c r="CT36" s="180">
        <v>0.16685039281708913</v>
      </c>
      <c r="CU36" s="180">
        <v>0.11833694229840529</v>
      </c>
      <c r="CV36" s="202">
        <v>8.2137268023142931E-2</v>
      </c>
    </row>
    <row r="37" spans="1:100">
      <c r="P37" s="190">
        <f>P35-P33-P30</f>
        <v>-1.6470171462779071E-5</v>
      </c>
      <c r="Q37" s="190" t="s">
        <v>629</v>
      </c>
      <c r="S37" s="190">
        <f>S35-S33-S30</f>
        <v>-1.7063994181759634E-4</v>
      </c>
      <c r="T37" s="190" t="s">
        <v>629</v>
      </c>
      <c r="AT37" s="227">
        <v>15</v>
      </c>
      <c r="AU37" s="221">
        <v>4.9032733493537197</v>
      </c>
      <c r="AV37" s="221">
        <v>5.3183297108772454</v>
      </c>
      <c r="AW37" s="221">
        <v>5.4084521438356283</v>
      </c>
      <c r="AX37" s="221">
        <v>5.3586317861881243</v>
      </c>
      <c r="AY37" s="221">
        <v>5.2298266088467695</v>
      </c>
      <c r="AZ37" s="221">
        <v>4.7481743242728909</v>
      </c>
      <c r="BA37" s="221">
        <v>4.2168945510131133</v>
      </c>
      <c r="BB37" s="221">
        <v>3.314664220189504</v>
      </c>
      <c r="BC37" s="221">
        <v>2.6731873115050959</v>
      </c>
      <c r="BD37" s="221">
        <v>2.2204964382163341</v>
      </c>
      <c r="BE37" s="221">
        <v>1.891213342712007</v>
      </c>
      <c r="BF37" s="221">
        <v>1.643451325399192</v>
      </c>
      <c r="BG37" s="221"/>
      <c r="BH37" s="227">
        <v>15</v>
      </c>
      <c r="BI37" s="221">
        <v>2.9677411352387693</v>
      </c>
      <c r="BJ37" s="221">
        <v>3.7164362454185391</v>
      </c>
      <c r="BK37" s="221">
        <v>4.0654339122303789</v>
      </c>
      <c r="BL37" s="221">
        <v>4.2243302870257979</v>
      </c>
      <c r="BM37" s="221">
        <v>4.2690550231628537</v>
      </c>
      <c r="BN37" s="221">
        <v>4.1093932792488399</v>
      </c>
      <c r="BO37" s="221">
        <v>3.7850635599140001</v>
      </c>
      <c r="BP37" s="221">
        <v>3.1006896309089642</v>
      </c>
      <c r="BQ37" s="221">
        <v>2.5545044666157914</v>
      </c>
      <c r="BR37" s="221">
        <v>2.148222231560649</v>
      </c>
      <c r="BS37" s="221">
        <v>1.8439080326471469</v>
      </c>
      <c r="BT37" s="221">
        <v>1.6107176951823461</v>
      </c>
      <c r="BU37" s="221"/>
      <c r="BV37" s="227">
        <v>15</v>
      </c>
      <c r="BW37" s="221">
        <v>1.1651853275869823</v>
      </c>
      <c r="BX37" s="221">
        <v>1.7035019092024482</v>
      </c>
      <c r="BY37" s="221">
        <v>2.0808876331230959</v>
      </c>
      <c r="BZ37" s="221">
        <v>2.3541381355600297</v>
      </c>
      <c r="CA37" s="221">
        <v>2.5492629596631891</v>
      </c>
      <c r="CB37" s="221">
        <v>2.7919373656385877</v>
      </c>
      <c r="CC37" s="221">
        <v>2.8099300047023013</v>
      </c>
      <c r="CD37" s="221">
        <v>2.5640583102773755</v>
      </c>
      <c r="CE37" s="221">
        <v>2.2400112469151607</v>
      </c>
      <c r="CF37" s="221">
        <v>1.9504576972003336</v>
      </c>
      <c r="CG37" s="221">
        <v>1.7118094688454677</v>
      </c>
      <c r="CH37" s="221">
        <v>1.5180497196904092</v>
      </c>
      <c r="CJ37" s="236">
        <v>0.4</v>
      </c>
      <c r="CK37" s="168">
        <v>0.97845593562330024</v>
      </c>
      <c r="CL37" s="235">
        <v>0.93704349947682741</v>
      </c>
      <c r="CM37" s="235">
        <v>0.88399861665185198</v>
      </c>
      <c r="CN37" s="235">
        <v>0.75874625638454651</v>
      </c>
      <c r="CO37" s="235">
        <v>0.62531022448115758</v>
      </c>
      <c r="CP37" s="235">
        <v>0.49756285739609385</v>
      </c>
      <c r="CQ37" s="235">
        <v>0.38362839190883807</v>
      </c>
      <c r="CR37" s="235">
        <v>0.28734645188419855</v>
      </c>
      <c r="CS37" s="235">
        <v>0.20950492129444101</v>
      </c>
      <c r="CT37" s="235">
        <v>0.14892416221420923</v>
      </c>
      <c r="CU37" s="235">
        <v>0.10334453241143342</v>
      </c>
      <c r="CV37" s="170">
        <v>7.0087680677322156E-2</v>
      </c>
    </row>
    <row r="38" spans="1:100">
      <c r="AT38" s="228" t="s">
        <v>652</v>
      </c>
      <c r="AU38" s="227">
        <v>5.1236276491493156</v>
      </c>
      <c r="AV38" s="221">
        <v>5.480201723179305</v>
      </c>
      <c r="AW38" s="221">
        <v>5.5365823984421771</v>
      </c>
      <c r="AX38" s="221">
        <v>5.4629550029231329</v>
      </c>
      <c r="AY38" s="221">
        <v>5.3158815180697312</v>
      </c>
      <c r="AZ38" s="221">
        <v>4.8029373778382221</v>
      </c>
      <c r="BA38" s="221">
        <v>4.2529319735887183</v>
      </c>
      <c r="BB38" s="221">
        <v>3.3319893172433455</v>
      </c>
      <c r="BC38" s="221">
        <v>2.6826491416595277</v>
      </c>
      <c r="BD38" s="221">
        <v>2.2262072337530543</v>
      </c>
      <c r="BE38" s="221">
        <v>1.8949303142272567</v>
      </c>
      <c r="BF38" s="221">
        <v>1.646013687295633</v>
      </c>
      <c r="BG38" s="221"/>
      <c r="BH38" s="228" t="s">
        <v>670</v>
      </c>
      <c r="BI38" s="221">
        <v>3.2961662227011979</v>
      </c>
      <c r="BJ38" s="221">
        <v>4.0166051623642618</v>
      </c>
      <c r="BK38" s="221">
        <v>4.3289979521967856</v>
      </c>
      <c r="BL38" s="221">
        <v>4.453451512749397</v>
      </c>
      <c r="BM38" s="221">
        <v>4.4671517578137916</v>
      </c>
      <c r="BN38" s="221">
        <v>4.2455749378495211</v>
      </c>
      <c r="BO38" s="221">
        <v>3.8790028092177198</v>
      </c>
      <c r="BP38" s="221">
        <v>3.1482880133528441</v>
      </c>
      <c r="BQ38" s="221">
        <v>2.5812055043711655</v>
      </c>
      <c r="BR38" s="221">
        <v>2.1645878883503267</v>
      </c>
      <c r="BS38" s="221">
        <v>1.8546632372616036</v>
      </c>
      <c r="BT38" s="221">
        <v>1.6181801207311584</v>
      </c>
      <c r="BU38" s="221"/>
      <c r="BV38" s="228" t="s">
        <v>670</v>
      </c>
      <c r="BW38" s="221">
        <v>1.3693834164279861</v>
      </c>
      <c r="BX38" s="221">
        <v>1.9735358716048639</v>
      </c>
      <c r="BY38" s="221">
        <v>2.3756040387450006</v>
      </c>
      <c r="BZ38" s="221">
        <v>2.6521191150877765</v>
      </c>
      <c r="CA38" s="221">
        <v>2.8381908721065754</v>
      </c>
      <c r="CB38" s="221">
        <v>3.0342751949524707</v>
      </c>
      <c r="CC38" s="221">
        <v>2.9998261810777804</v>
      </c>
      <c r="CD38" s="221">
        <v>2.6755375739459168</v>
      </c>
      <c r="CE38" s="221">
        <v>2.3075501279269806</v>
      </c>
      <c r="CF38" s="221">
        <v>1.99374861355243</v>
      </c>
      <c r="CG38" s="221">
        <v>1.7410753250105564</v>
      </c>
      <c r="CH38" s="221">
        <v>1.5387458570535497</v>
      </c>
      <c r="CJ38" s="234">
        <v>0.1</v>
      </c>
      <c r="CK38" s="180">
        <v>5.7940486021306308</v>
      </c>
      <c r="CL38" s="180">
        <v>5.7279650449196504</v>
      </c>
      <c r="CM38" s="180">
        <v>5.6405020091548215</v>
      </c>
      <c r="CN38" s="180">
        <v>5.4195372468476917</v>
      </c>
      <c r="CO38" s="180">
        <v>5.156255883342256</v>
      </c>
      <c r="CP38" s="180">
        <v>4.8671460653618368</v>
      </c>
      <c r="CQ38" s="180">
        <v>4.5646238201087215</v>
      </c>
      <c r="CR38" s="180">
        <v>4.2583143820007532</v>
      </c>
      <c r="CS38" s="180">
        <v>3.9556297925403059</v>
      </c>
      <c r="CT38" s="180">
        <v>3.6621330786859327</v>
      </c>
      <c r="CU38" s="180">
        <v>3.3818263943600253</v>
      </c>
      <c r="CV38" s="180">
        <v>3.1174058068802348</v>
      </c>
    </row>
    <row r="39" spans="1:100">
      <c r="AT39" s="226" t="s">
        <v>667</v>
      </c>
      <c r="AU39" s="221">
        <v>2.8393545950962951</v>
      </c>
      <c r="AV39" s="221">
        <v>3.1356750445764279</v>
      </c>
      <c r="AW39" s="221">
        <v>3.2400479300500109</v>
      </c>
      <c r="AX39" s="221">
        <v>3.2655082600712637</v>
      </c>
      <c r="AY39" s="221">
        <v>3.2456093273012323</v>
      </c>
      <c r="AZ39" s="221">
        <v>3.0867938011074538</v>
      </c>
      <c r="BA39" s="221">
        <v>2.8576925962713413</v>
      </c>
      <c r="BB39" s="221">
        <v>2.3842700856445367</v>
      </c>
      <c r="BC39" s="221">
        <v>1.9915874000490941</v>
      </c>
      <c r="BD39" s="221">
        <v>1.6894040172562326</v>
      </c>
      <c r="BE39" s="221">
        <v>1.457937134425801</v>
      </c>
      <c r="BF39" s="221">
        <v>1.2779775534804616</v>
      </c>
      <c r="BG39" s="221"/>
      <c r="BH39" s="226" t="s">
        <v>667</v>
      </c>
      <c r="BI39" s="221">
        <v>1.635435235310182</v>
      </c>
      <c r="BJ39" s="221">
        <v>2.0998510172203506</v>
      </c>
      <c r="BK39" s="221">
        <v>2.3423052048689308</v>
      </c>
      <c r="BL39" s="221">
        <v>2.4804012602267789</v>
      </c>
      <c r="BM39" s="221">
        <v>2.5556519820979204</v>
      </c>
      <c r="BN39" s="221">
        <v>2.5830052946321227</v>
      </c>
      <c r="BO39" s="221">
        <v>2.4872530584627728</v>
      </c>
      <c r="BP39" s="221">
        <v>2.1770150057436952</v>
      </c>
      <c r="BQ39" s="221">
        <v>1.8680375826605478</v>
      </c>
      <c r="BR39" s="221">
        <v>1.6108345554421708</v>
      </c>
      <c r="BS39" s="221">
        <v>1.4050885825377539</v>
      </c>
      <c r="BT39" s="221">
        <v>1.2407417072942988</v>
      </c>
      <c r="BU39" s="221"/>
      <c r="BV39" s="226" t="s">
        <v>667</v>
      </c>
      <c r="BW39" s="221">
        <v>0.61859822615208471</v>
      </c>
      <c r="BX39" s="221">
        <v>0.9119513116745277</v>
      </c>
      <c r="BY39" s="221">
        <v>1.1269123106742378</v>
      </c>
      <c r="BZ39" s="221">
        <v>1.2923411187184197</v>
      </c>
      <c r="CA39" s="221">
        <v>1.4211196054829964</v>
      </c>
      <c r="CB39" s="221">
        <v>1.6259327849256155</v>
      </c>
      <c r="CC39" s="221">
        <v>1.7125219285248556</v>
      </c>
      <c r="CD39" s="221">
        <v>1.688369276138034</v>
      </c>
      <c r="CE39" s="221">
        <v>1.5560364253920187</v>
      </c>
      <c r="CF39" s="221">
        <v>1.4038270954258361</v>
      </c>
      <c r="CG39" s="221">
        <v>1.2619181379357305</v>
      </c>
      <c r="CH39" s="221">
        <v>1.1379103271608006</v>
      </c>
      <c r="CJ39" s="234">
        <v>0.2</v>
      </c>
      <c r="CK39" s="180">
        <v>4.4204128105291423</v>
      </c>
      <c r="CL39" s="180">
        <v>4.3436386058531484</v>
      </c>
      <c r="CM39" s="180">
        <v>4.2429844946773327</v>
      </c>
      <c r="CN39" s="180">
        <v>3.9935779579201318</v>
      </c>
      <c r="CO39" s="180">
        <v>3.7056043221888051</v>
      </c>
      <c r="CP39" s="180">
        <v>3.4009994621507333</v>
      </c>
      <c r="CQ39" s="180">
        <v>3.0954052826940353</v>
      </c>
      <c r="CR39" s="180">
        <v>2.7998012101165699</v>
      </c>
      <c r="CS39" s="180">
        <v>2.5214601025729055</v>
      </c>
      <c r="CT39" s="180">
        <v>2.2647160633082746</v>
      </c>
      <c r="CU39" s="180">
        <v>2.0316423687965748</v>
      </c>
      <c r="CV39" s="180">
        <v>1.822648706374248</v>
      </c>
    </row>
    <row r="40" spans="1:100">
      <c r="A40" s="190">
        <f t="shared" ref="A40:O40" si="22">A25</f>
        <v>1</v>
      </c>
      <c r="B40" s="190">
        <f t="shared" si="22"/>
        <v>0.83891733347055431</v>
      </c>
      <c r="C40" s="190">
        <f t="shared" si="22"/>
        <v>0.70891016088490666</v>
      </c>
      <c r="D40" s="190">
        <f t="shared" si="22"/>
        <v>0.60541280511671058</v>
      </c>
      <c r="E40" s="190">
        <f t="shared" si="22"/>
        <v>0.52092464003002514</v>
      </c>
      <c r="F40" s="190">
        <f t="shared" si="22"/>
        <v>0.449841878619475</v>
      </c>
      <c r="G40" s="190">
        <f t="shared" si="22"/>
        <v>0.3883804986167167</v>
      </c>
      <c r="H40" s="190">
        <f t="shared" si="22"/>
        <v>0.33394548818106384</v>
      </c>
      <c r="I40" s="190">
        <f t="shared" si="22"/>
        <v>0.28463128895960021</v>
      </c>
      <c r="J40" s="190">
        <f t="shared" si="22"/>
        <v>0.23887184678598819</v>
      </c>
      <c r="K40" s="190">
        <f t="shared" si="22"/>
        <v>0.19516774494419323</v>
      </c>
      <c r="L40" s="190">
        <f t="shared" si="22"/>
        <v>0.15182236224119561</v>
      </c>
      <c r="M40" s="190">
        <f t="shared" si="22"/>
        <v>0.10665316122530567</v>
      </c>
      <c r="N40" s="190">
        <f t="shared" si="22"/>
        <v>5.6828487700425173E-2</v>
      </c>
      <c r="O40" s="190">
        <f t="shared" si="22"/>
        <v>0</v>
      </c>
      <c r="U40" s="190">
        <f t="shared" ref="U40:AN40" si="23">U25</f>
        <v>1</v>
      </c>
      <c r="V40" s="190">
        <f t="shared" si="23"/>
        <v>0.84399603480224639</v>
      </c>
      <c r="W40" s="190">
        <f t="shared" si="23"/>
        <v>0.71846448473770841</v>
      </c>
      <c r="X40" s="190">
        <f t="shared" si="23"/>
        <v>0.61906299797505027</v>
      </c>
      <c r="Y40" s="190">
        <f t="shared" si="23"/>
        <v>0.53856308732379243</v>
      </c>
      <c r="Z40" s="190">
        <f t="shared" si="23"/>
        <v>0.47158788838843396</v>
      </c>
      <c r="AA40" s="190">
        <f t="shared" si="23"/>
        <v>0.41455798352656342</v>
      </c>
      <c r="AB40" s="190">
        <f t="shared" si="23"/>
        <v>0.36509969203150461</v>
      </c>
      <c r="AC40" s="190">
        <f t="shared" si="23"/>
        <v>0.32159135544947898</v>
      </c>
      <c r="AD40" s="190">
        <f t="shared" si="23"/>
        <v>0.28287570293768488</v>
      </c>
      <c r="AE40" s="190">
        <f t="shared" si="23"/>
        <v>0.24808302570136961</v>
      </c>
      <c r="AF40" s="190">
        <f t="shared" si="23"/>
        <v>0.21651961503737985</v>
      </c>
      <c r="AG40" s="190">
        <f t="shared" si="23"/>
        <v>0.18759194269063834</v>
      </c>
      <c r="AH40" s="190">
        <f t="shared" si="23"/>
        <v>0.16074716732388156</v>
      </c>
      <c r="AI40" s="190">
        <f t="shared" si="23"/>
        <v>0.13541501487190055</v>
      </c>
      <c r="AJ40" s="190">
        <f t="shared" si="23"/>
        <v>0.11093633182039704</v>
      </c>
      <c r="AK40" s="190">
        <f t="shared" si="23"/>
        <v>8.6462310417810787E-2</v>
      </c>
      <c r="AL40" s="190">
        <f t="shared" si="23"/>
        <v>6.0819431458179481E-2</v>
      </c>
      <c r="AM40" s="190">
        <f t="shared" si="23"/>
        <v>3.2435042861681071E-2</v>
      </c>
      <c r="AN40" s="190">
        <f t="shared" si="23"/>
        <v>0</v>
      </c>
      <c r="AT40" s="227">
        <v>10</v>
      </c>
      <c r="AU40" s="221">
        <v>3.1607768216618983</v>
      </c>
      <c r="AV40" s="221">
        <v>3.3756537640543294</v>
      </c>
      <c r="AW40" s="221">
        <v>3.4344826829260438</v>
      </c>
      <c r="AX40" s="221">
        <v>3.4285082242332789</v>
      </c>
      <c r="AY40" s="221">
        <v>3.3845882556447533</v>
      </c>
      <c r="AZ40" s="221">
        <v>3.1833066978046038</v>
      </c>
      <c r="BA40" s="221">
        <v>2.9264300772507639</v>
      </c>
      <c r="BB40" s="221">
        <v>2.4212808233485137</v>
      </c>
      <c r="BC40" s="221">
        <v>2.0131852224351401</v>
      </c>
      <c r="BD40" s="221">
        <v>1.7029622473023498</v>
      </c>
      <c r="BE40" s="221">
        <v>1.4669805589457323</v>
      </c>
      <c r="BF40" s="221">
        <v>1.2843127352984023</v>
      </c>
      <c r="BG40" s="221"/>
      <c r="BH40" s="227">
        <v>10</v>
      </c>
      <c r="BI40" s="221">
        <v>2.1095095058588886</v>
      </c>
      <c r="BJ40" s="221">
        <v>2.5393984734103574</v>
      </c>
      <c r="BK40" s="221">
        <v>2.7364294468046819</v>
      </c>
      <c r="BL40" s="221">
        <v>2.8323152487515921</v>
      </c>
      <c r="BM40" s="221">
        <v>2.8694645766923323</v>
      </c>
      <c r="BN40" s="221">
        <v>2.8176459581200715</v>
      </c>
      <c r="BO40" s="221">
        <v>2.6623541355327598</v>
      </c>
      <c r="BP40" s="221">
        <v>2.2767026570861457</v>
      </c>
      <c r="BQ40" s="221">
        <v>1.9280324028296678</v>
      </c>
      <c r="BR40" s="221">
        <v>1.6492063676153701</v>
      </c>
      <c r="BS40" s="221">
        <v>1.4309943978651076</v>
      </c>
      <c r="BT40" s="221">
        <v>1.259040474319105</v>
      </c>
      <c r="BU40" s="221"/>
      <c r="BV40" s="227">
        <v>10</v>
      </c>
      <c r="BW40" s="221">
        <v>0.91250914582120679</v>
      </c>
      <c r="BX40" s="221">
        <v>1.3014917229834719</v>
      </c>
      <c r="BY40" s="221">
        <v>1.5564880027776336</v>
      </c>
      <c r="BZ40" s="221">
        <v>1.7341938999281152</v>
      </c>
      <c r="CA40" s="221">
        <v>1.8593434456630973</v>
      </c>
      <c r="CB40" s="221">
        <v>2.0203245791045208</v>
      </c>
      <c r="CC40" s="221">
        <v>2.0454461907527981</v>
      </c>
      <c r="CD40" s="221">
        <v>1.9092656062001616</v>
      </c>
      <c r="CE40" s="221">
        <v>1.7010985254600766</v>
      </c>
      <c r="CF40" s="221">
        <v>1.5017228701068066</v>
      </c>
      <c r="CG40" s="221">
        <v>1.3303736700326718</v>
      </c>
      <c r="CH40" s="221">
        <v>1.1874493318623984</v>
      </c>
      <c r="CJ40" s="234">
        <v>0.3</v>
      </c>
      <c r="CK40" s="180">
        <v>3.39508801614482</v>
      </c>
      <c r="CL40" s="180">
        <v>3.3272147469204332</v>
      </c>
      <c r="CM40" s="180">
        <v>3.2386020176719112</v>
      </c>
      <c r="CN40" s="180">
        <v>3.0208974169931597</v>
      </c>
      <c r="CO40" s="180">
        <v>2.772966737946716</v>
      </c>
      <c r="CP40" s="180">
        <v>2.5149515126158608</v>
      </c>
      <c r="CQ40" s="180">
        <v>2.2607460639991004</v>
      </c>
      <c r="CR40" s="180">
        <v>2.0195743234191457</v>
      </c>
      <c r="CS40" s="180">
        <v>1.7970184613397082</v>
      </c>
      <c r="CT40" s="180">
        <v>1.5958826445717309</v>
      </c>
      <c r="CU40" s="180">
        <v>1.4169487489955075</v>
      </c>
      <c r="CV40" s="180">
        <v>1.2596180126177647</v>
      </c>
    </row>
    <row r="41" spans="1:100">
      <c r="A41" s="190">
        <f t="shared" ref="A41:O41" si="24">A36</f>
        <v>0</v>
      </c>
      <c r="B41" s="190">
        <f t="shared" si="24"/>
        <v>5.6828487700425166E-2</v>
      </c>
      <c r="C41" s="190">
        <f t="shared" si="24"/>
        <v>0.10665316122530569</v>
      </c>
      <c r="D41" s="190">
        <f t="shared" si="24"/>
        <v>0.15182236224119561</v>
      </c>
      <c r="E41" s="190">
        <f t="shared" si="24"/>
        <v>0.19516774494419323</v>
      </c>
      <c r="F41" s="190">
        <f t="shared" si="24"/>
        <v>0.23887184678598819</v>
      </c>
      <c r="G41" s="190">
        <f t="shared" si="24"/>
        <v>0.28463128895960021</v>
      </c>
      <c r="H41" s="190">
        <f t="shared" si="24"/>
        <v>0.33394548818106384</v>
      </c>
      <c r="I41" s="190">
        <f t="shared" si="24"/>
        <v>0.3883804986167167</v>
      </c>
      <c r="J41" s="190">
        <f t="shared" si="24"/>
        <v>0.44984187861947494</v>
      </c>
      <c r="K41" s="190">
        <f t="shared" si="24"/>
        <v>0.52092464003002503</v>
      </c>
      <c r="L41" s="190">
        <f t="shared" si="24"/>
        <v>0.60541280511671047</v>
      </c>
      <c r="M41" s="190">
        <f t="shared" si="24"/>
        <v>0.70891016088490644</v>
      </c>
      <c r="N41" s="190">
        <f t="shared" si="24"/>
        <v>0.83891733347055419</v>
      </c>
      <c r="O41" s="190">
        <f t="shared" si="24"/>
        <v>1</v>
      </c>
      <c r="U41" s="190">
        <f t="shared" ref="U41:AN41" si="25">U36</f>
        <v>0</v>
      </c>
      <c r="V41" s="190">
        <f t="shared" si="25"/>
        <v>3.2435042861681085E-2</v>
      </c>
      <c r="W41" s="190">
        <f t="shared" si="25"/>
        <v>6.0819431458179488E-2</v>
      </c>
      <c r="X41" s="190">
        <f t="shared" si="25"/>
        <v>8.64623104178108E-2</v>
      </c>
      <c r="Y41" s="190">
        <f t="shared" si="25"/>
        <v>0.11093633182039708</v>
      </c>
      <c r="Z41" s="190">
        <f t="shared" si="25"/>
        <v>0.13541501487190058</v>
      </c>
      <c r="AA41" s="190">
        <f t="shared" si="25"/>
        <v>0.16074716732388156</v>
      </c>
      <c r="AB41" s="190">
        <f t="shared" si="25"/>
        <v>0.18759194269063834</v>
      </c>
      <c r="AC41" s="190">
        <f t="shared" si="25"/>
        <v>0.21651961503737985</v>
      </c>
      <c r="AD41" s="190">
        <f t="shared" si="25"/>
        <v>0.24808302570136959</v>
      </c>
      <c r="AE41" s="190">
        <f t="shared" si="25"/>
        <v>0.28287570293768488</v>
      </c>
      <c r="AF41" s="190">
        <f t="shared" si="25"/>
        <v>0.32159135544947892</v>
      </c>
      <c r="AG41" s="190">
        <f t="shared" si="25"/>
        <v>0.3650996920315045</v>
      </c>
      <c r="AH41" s="190">
        <f t="shared" si="25"/>
        <v>0.41455798352656342</v>
      </c>
      <c r="AI41" s="190">
        <f t="shared" si="25"/>
        <v>0.47158788838843402</v>
      </c>
      <c r="AJ41" s="190">
        <f t="shared" si="25"/>
        <v>0.53856308732379243</v>
      </c>
      <c r="AK41" s="190">
        <f t="shared" si="25"/>
        <v>0.61906299797505027</v>
      </c>
      <c r="AL41" s="190">
        <f t="shared" si="25"/>
        <v>0.71846448473770841</v>
      </c>
      <c r="AM41" s="190">
        <f t="shared" si="25"/>
        <v>0.84399603480224639</v>
      </c>
      <c r="AN41" s="190">
        <f t="shared" si="25"/>
        <v>1</v>
      </c>
      <c r="AT41" s="227">
        <v>15</v>
      </c>
      <c r="AU41" s="221">
        <v>3.3124614230281719</v>
      </c>
      <c r="AV41" s="221">
        <v>3.4850332364284831</v>
      </c>
      <c r="AW41" s="221">
        <v>3.5217304934625728</v>
      </c>
      <c r="AX41" s="221">
        <v>3.5009562350424179</v>
      </c>
      <c r="AY41" s="221">
        <v>3.445947030723659</v>
      </c>
      <c r="AZ41" s="221">
        <v>3.2254540629421693</v>
      </c>
      <c r="BA41" s="221">
        <v>2.956243790731627</v>
      </c>
      <c r="BB41" s="221">
        <v>2.4372045067317321</v>
      </c>
      <c r="BC41" s="221">
        <v>2.0224364856335177</v>
      </c>
      <c r="BD41" s="221">
        <v>1.7087543152675067</v>
      </c>
      <c r="BE41" s="221">
        <v>1.4708372342463545</v>
      </c>
      <c r="BF41" s="221">
        <v>1.2870112585416149</v>
      </c>
      <c r="BG41" s="221"/>
      <c r="BH41" s="227">
        <v>15</v>
      </c>
      <c r="BI41" s="221">
        <v>2.3765338678121304</v>
      </c>
      <c r="BJ41" s="221">
        <v>2.7671088240607085</v>
      </c>
      <c r="BK41" s="221">
        <v>2.9325243774448309</v>
      </c>
      <c r="BL41" s="221">
        <v>3.0030034770736647</v>
      </c>
      <c r="BM41" s="221">
        <v>3.0189174264368535</v>
      </c>
      <c r="BN41" s="221">
        <v>2.9260507301647749</v>
      </c>
      <c r="BO41" s="221">
        <v>2.7417017100663026</v>
      </c>
      <c r="BP41" s="221">
        <v>2.3208381463812753</v>
      </c>
      <c r="BQ41" s="221">
        <v>1.9542533206993038</v>
      </c>
      <c r="BR41" s="221">
        <v>1.6658458294697278</v>
      </c>
      <c r="BS41" s="221">
        <v>1.4421710417246594</v>
      </c>
      <c r="BT41" s="221">
        <v>1.2669076529947108</v>
      </c>
      <c r="BU41" s="221"/>
      <c r="BV41" s="227">
        <v>15</v>
      </c>
      <c r="BW41" s="221">
        <v>1.1305671249515745</v>
      </c>
      <c r="BX41" s="221">
        <v>1.5633958083731103</v>
      </c>
      <c r="BY41" s="221">
        <v>1.8263579033193236</v>
      </c>
      <c r="BZ41" s="221">
        <v>1.9982971369995361</v>
      </c>
      <c r="CA41" s="221">
        <v>2.1112772144321332</v>
      </c>
      <c r="CB41" s="221">
        <v>2.2316319606861663</v>
      </c>
      <c r="CC41" s="221">
        <v>2.2153856200164488</v>
      </c>
      <c r="CD41" s="221">
        <v>2.0152785909355515</v>
      </c>
      <c r="CE41" s="221">
        <v>1.768269356867356</v>
      </c>
      <c r="CF41" s="221">
        <v>1.5460567762884387</v>
      </c>
      <c r="CG41" s="221">
        <v>1.3609246195045572</v>
      </c>
      <c r="CH41" s="221">
        <v>1.2093354220092432</v>
      </c>
      <c r="CJ41" s="236">
        <v>0.4</v>
      </c>
      <c r="CK41" s="180">
        <v>2.7061878001108126</v>
      </c>
      <c r="CL41" s="180">
        <v>2.6487141991255641</v>
      </c>
      <c r="CM41" s="180">
        <v>2.5738283164635876</v>
      </c>
      <c r="CN41" s="180">
        <v>2.3905919145123375</v>
      </c>
      <c r="CO41" s="180">
        <v>2.1832733775745528</v>
      </c>
      <c r="CP41" s="180">
        <v>1.9691747384009142</v>
      </c>
      <c r="CQ41" s="180">
        <v>1.7600262471936075</v>
      </c>
      <c r="CR41" s="180">
        <v>1.5633906187677447</v>
      </c>
      <c r="CS41" s="180">
        <v>1.3836194810929441</v>
      </c>
      <c r="CT41" s="180">
        <v>1.2226650055046817</v>
      </c>
      <c r="CU41" s="180">
        <v>1.0807826459166585</v>
      </c>
      <c r="CV41" s="180">
        <v>0.95711559046353811</v>
      </c>
    </row>
    <row r="42" spans="1:100">
      <c r="A42" s="190">
        <f t="shared" ref="A42:O42" si="26">SUM(A40:A41)</f>
        <v>1</v>
      </c>
      <c r="B42" s="190">
        <f t="shared" si="26"/>
        <v>0.89574582117097945</v>
      </c>
      <c r="C42" s="190">
        <f t="shared" si="26"/>
        <v>0.81556332211021232</v>
      </c>
      <c r="D42" s="190">
        <f t="shared" si="26"/>
        <v>0.75723516735790619</v>
      </c>
      <c r="E42" s="190">
        <f t="shared" si="26"/>
        <v>0.71609238497421834</v>
      </c>
      <c r="F42" s="190">
        <f t="shared" si="26"/>
        <v>0.68871372540546316</v>
      </c>
      <c r="G42" s="190">
        <f t="shared" si="26"/>
        <v>0.67301178757631686</v>
      </c>
      <c r="H42" s="190">
        <f t="shared" si="26"/>
        <v>0.66789097636212769</v>
      </c>
      <c r="I42" s="190">
        <f t="shared" si="26"/>
        <v>0.67301178757631686</v>
      </c>
      <c r="J42" s="190">
        <f t="shared" si="26"/>
        <v>0.68871372540546316</v>
      </c>
      <c r="K42" s="190">
        <f t="shared" si="26"/>
        <v>0.71609238497421823</v>
      </c>
      <c r="L42" s="190">
        <f t="shared" si="26"/>
        <v>0.75723516735790608</v>
      </c>
      <c r="M42" s="190">
        <f t="shared" si="26"/>
        <v>0.8155633221102121</v>
      </c>
      <c r="N42" s="190">
        <f t="shared" si="26"/>
        <v>0.89574582117097934</v>
      </c>
      <c r="O42" s="190">
        <f t="shared" si="26"/>
        <v>1</v>
      </c>
      <c r="U42" s="190">
        <f t="shared" ref="U42:AN42" si="27">SUM(U40:U41)</f>
        <v>1</v>
      </c>
      <c r="V42" s="190">
        <f t="shared" si="27"/>
        <v>0.87643107766392747</v>
      </c>
      <c r="W42" s="190">
        <f t="shared" si="27"/>
        <v>0.77928391619588788</v>
      </c>
      <c r="X42" s="190">
        <f t="shared" si="27"/>
        <v>0.70552530839286109</v>
      </c>
      <c r="Y42" s="190">
        <f t="shared" si="27"/>
        <v>0.64949941914418952</v>
      </c>
      <c r="Z42" s="190">
        <f t="shared" si="27"/>
        <v>0.60700290326033457</v>
      </c>
      <c r="AA42" s="190">
        <f t="shared" si="27"/>
        <v>0.57530515085044498</v>
      </c>
      <c r="AB42" s="190">
        <f t="shared" si="27"/>
        <v>0.55269163472214289</v>
      </c>
      <c r="AC42" s="190">
        <f t="shared" si="27"/>
        <v>0.53811097048685885</v>
      </c>
      <c r="AD42" s="190">
        <f t="shared" si="27"/>
        <v>0.53095872863905447</v>
      </c>
      <c r="AE42" s="190">
        <f t="shared" si="27"/>
        <v>0.53095872863905447</v>
      </c>
      <c r="AF42" s="190">
        <f t="shared" si="27"/>
        <v>0.53811097048685874</v>
      </c>
      <c r="AG42" s="190">
        <f t="shared" si="27"/>
        <v>0.55269163472214289</v>
      </c>
      <c r="AH42" s="190">
        <f t="shared" si="27"/>
        <v>0.57530515085044498</v>
      </c>
      <c r="AI42" s="190">
        <f t="shared" si="27"/>
        <v>0.60700290326033457</v>
      </c>
      <c r="AJ42" s="190">
        <f t="shared" si="27"/>
        <v>0.64949941914418952</v>
      </c>
      <c r="AK42" s="190">
        <f t="shared" si="27"/>
        <v>0.70552530839286109</v>
      </c>
      <c r="AL42" s="190">
        <f t="shared" si="27"/>
        <v>0.77928391619588788</v>
      </c>
      <c r="AM42" s="190">
        <f t="shared" si="27"/>
        <v>0.87643107766392747</v>
      </c>
      <c r="AN42" s="190">
        <f t="shared" si="27"/>
        <v>1</v>
      </c>
      <c r="AT42" s="228" t="s">
        <v>652</v>
      </c>
      <c r="AU42" s="227">
        <v>3.4050754363677505</v>
      </c>
      <c r="AV42" s="221">
        <v>3.5507013975142412</v>
      </c>
      <c r="AW42" s="221">
        <v>3.5737201978879911</v>
      </c>
      <c r="AX42" s="221">
        <v>3.5439305831581409</v>
      </c>
      <c r="AY42" s="221">
        <v>3.4822273805781245</v>
      </c>
      <c r="AZ42" s="221">
        <v>3.2502459929332073</v>
      </c>
      <c r="BA42" s="221">
        <v>2.9737241887850359</v>
      </c>
      <c r="BB42" s="221">
        <v>2.4465052991195266</v>
      </c>
      <c r="BC42" s="221">
        <v>2.0278287189615063</v>
      </c>
      <c r="BD42" s="221">
        <v>1.7121260543633883</v>
      </c>
      <c r="BE42" s="221">
        <v>1.4730804943828739</v>
      </c>
      <c r="BF42" s="221">
        <v>1.2885799985953843</v>
      </c>
      <c r="BG42" s="221"/>
      <c r="BH42" s="228" t="s">
        <v>669</v>
      </c>
      <c r="BI42" s="221">
        <v>2.5549153854514013</v>
      </c>
      <c r="BJ42" s="221">
        <v>2.9127447274958516</v>
      </c>
      <c r="BK42" s="221">
        <v>3.0554159473598559</v>
      </c>
      <c r="BL42" s="221">
        <v>3.1086301434962729</v>
      </c>
      <c r="BM42" s="221">
        <v>3.1105769840354465</v>
      </c>
      <c r="BN42" s="221">
        <v>2.9915604593626939</v>
      </c>
      <c r="BO42" s="221">
        <v>2.7892069642011572</v>
      </c>
      <c r="BP42" s="221">
        <v>2.3469695960689632</v>
      </c>
      <c r="BQ42" s="221">
        <v>1.9696828788779337</v>
      </c>
      <c r="BR42" s="221">
        <v>1.6756008748333167</v>
      </c>
      <c r="BS42" s="221">
        <v>1.4487076770133014</v>
      </c>
      <c r="BT42" s="221">
        <v>1.2715011656148767</v>
      </c>
      <c r="BU42" s="221"/>
      <c r="BV42" s="228" t="s">
        <v>669</v>
      </c>
      <c r="BW42" s="221">
        <v>1.3037890438397179</v>
      </c>
      <c r="BX42" s="221">
        <v>1.7572713444817762</v>
      </c>
      <c r="BY42" s="221">
        <v>2.0179782090832359</v>
      </c>
      <c r="BZ42" s="221">
        <v>2.1805472322301904</v>
      </c>
      <c r="CA42" s="221">
        <v>2.2814416613172388</v>
      </c>
      <c r="CB42" s="221">
        <v>2.3691293747556159</v>
      </c>
      <c r="CC42" s="221">
        <v>2.3232614797985365</v>
      </c>
      <c r="CD42" s="221">
        <v>2.0805417272843112</v>
      </c>
      <c r="CE42" s="221">
        <v>1.8089055642245297</v>
      </c>
      <c r="CF42" s="221">
        <v>1.5725914009354112</v>
      </c>
      <c r="CG42" s="221">
        <v>1.3790821336119088</v>
      </c>
      <c r="CH42" s="221">
        <v>1.2222804388591308</v>
      </c>
    </row>
    <row r="48" spans="1:100">
      <c r="A48" s="71" t="s">
        <v>628</v>
      </c>
    </row>
    <row r="49" spans="1:58">
      <c r="A49" s="71" t="s">
        <v>627</v>
      </c>
    </row>
    <row r="51" spans="1:58">
      <c r="C51" s="71" t="s">
        <v>612</v>
      </c>
      <c r="Z51" s="190">
        <v>1.2</v>
      </c>
      <c r="AA51" s="71">
        <f>Z51/2</f>
        <v>0.6</v>
      </c>
      <c r="AB51" s="190">
        <v>0.56000000000000005</v>
      </c>
      <c r="AF51" s="190">
        <v>0.96</v>
      </c>
      <c r="AG51" s="71">
        <f>AF51/2</f>
        <v>0.48</v>
      </c>
    </row>
    <row r="52" spans="1:58">
      <c r="C52" s="71" t="s">
        <v>611</v>
      </c>
      <c r="Z52" s="190">
        <v>0.18</v>
      </c>
      <c r="AA52" s="71">
        <f>Z52/2</f>
        <v>0.09</v>
      </c>
      <c r="AB52" s="190">
        <v>7.6999999999999999E-2</v>
      </c>
      <c r="AF52" s="190">
        <v>0.24</v>
      </c>
      <c r="AG52" s="71">
        <f>AF52/2</f>
        <v>0.12</v>
      </c>
      <c r="AT52" s="190" t="s">
        <v>651</v>
      </c>
    </row>
    <row r="53" spans="1:58">
      <c r="C53" s="190">
        <v>7.6999999999999999E-2</v>
      </c>
      <c r="F53" s="190">
        <v>0.56000000000000005</v>
      </c>
      <c r="I53" s="190" t="s">
        <v>609</v>
      </c>
      <c r="Z53" s="190" t="s">
        <v>322</v>
      </c>
      <c r="AB53" s="190">
        <f>CF18/20</f>
        <v>5.8476226575825248</v>
      </c>
      <c r="AC53" s="190">
        <f>CG18/20</f>
        <v>4.4602728070545457</v>
      </c>
      <c r="AD53" s="190">
        <f>CH18/20</f>
        <v>3.382953844673994</v>
      </c>
      <c r="AF53" s="190">
        <f>CJ18/20</f>
        <v>3.6898660464704669</v>
      </c>
      <c r="AG53" s="190">
        <f>CK18/20</f>
        <v>3.0804647826251998</v>
      </c>
      <c r="AH53" s="190">
        <f>CL18/20</f>
        <v>2.5059446816964659</v>
      </c>
    </row>
    <row r="54" spans="1:58">
      <c r="C54" s="190" t="s">
        <v>16</v>
      </c>
      <c r="D54" s="190" t="s">
        <v>610</v>
      </c>
      <c r="E54" s="190" t="s">
        <v>322</v>
      </c>
      <c r="AA54" s="190">
        <f>$Z$51/SQRT($Z$52*$Z$52+CE9*CE9)</f>
        <v>6.666666666666667</v>
      </c>
      <c r="AB54" s="190">
        <f>$Z$51/SQRT($Z$52*$Z$52+CF9*CF9)</f>
        <v>5.8277151741435853</v>
      </c>
      <c r="AC54" s="190">
        <f>$Z$51/SQRT($Z$52*$Z$52+CG9*CG9)</f>
        <v>4.4597648774829972</v>
      </c>
      <c r="AD54" s="190">
        <f>$Z$51/SQRT($Z$52*$Z$52+CH9*CH9)</f>
        <v>3.4299717028501764</v>
      </c>
      <c r="AE54" s="190">
        <f>$AF$51/SQRT($AF$52*$AF$52+CI9*CI9)</f>
        <v>4</v>
      </c>
      <c r="AF54" s="190">
        <f>$AF$51/SQRT($AF$52*$AF$52+CJ9*CJ9)</f>
        <v>3.6923076923076921</v>
      </c>
      <c r="AG54" s="190">
        <f>$AF$51/SQRT($AF$52*$AF$52+CK9*CK9)</f>
        <v>3.072885118389503</v>
      </c>
      <c r="AH54" s="190">
        <f>$AF$51/SQRT($AF$52*$AF$52+CL9*CL9)</f>
        <v>2.4987801902176967</v>
      </c>
      <c r="AT54" s="234" t="s">
        <v>672</v>
      </c>
    </row>
    <row r="55" spans="1:58">
      <c r="C55" s="190">
        <v>0</v>
      </c>
      <c r="F55" s="190">
        <f t="shared" ref="F55:F61" si="28">F$53/SQRT(C55*C55+C$53*C$53)</f>
        <v>7.2727272727272734</v>
      </c>
      <c r="AA55" s="71">
        <f>0.6/SQRT(CE9*CE9/4+0.09*0.09)</f>
        <v>6.666666666666667</v>
      </c>
      <c r="AB55" s="71">
        <f>0.6/SQRT(CF9*CF9/4+0.09*0.09)</f>
        <v>5.8277151741435853</v>
      </c>
      <c r="AC55" s="71">
        <f>0.6/SQRT(CG9*CG9/4+0.09*0.09)</f>
        <v>4.4597648774829972</v>
      </c>
      <c r="AD55" s="71">
        <f>0.6/SQRT(CH9*CH9/4+0.09*0.09)</f>
        <v>3.4299717028501764</v>
      </c>
      <c r="AE55" s="71">
        <f>0.48/SQRT(CI9*CI9/4+0.12*0.12)</f>
        <v>4</v>
      </c>
      <c r="AF55" s="71">
        <f>0.48/SQRT(CJ9*CJ9/4+0.12*0.12)</f>
        <v>3.6923076923076921</v>
      </c>
      <c r="AG55" s="71">
        <f>0.48/SQRT(CK9*CK9/4+0.12*0.12)</f>
        <v>3.072885118389503</v>
      </c>
      <c r="AH55" s="71">
        <f>0.48/SQRT(CL9*CL9/4+0.12*0.12)</f>
        <v>2.4987801902176967</v>
      </c>
      <c r="AT55" s="230"/>
      <c r="AU55" s="232">
        <v>8</v>
      </c>
      <c r="AV55" s="230">
        <v>10</v>
      </c>
      <c r="AW55" s="230">
        <v>12</v>
      </c>
      <c r="AX55" s="230">
        <v>14</v>
      </c>
      <c r="AY55" s="230">
        <v>16</v>
      </c>
      <c r="AZ55" s="230">
        <v>18</v>
      </c>
      <c r="BA55" s="230">
        <v>20</v>
      </c>
      <c r="BB55" s="230">
        <v>22</v>
      </c>
      <c r="BC55" s="230">
        <v>24</v>
      </c>
      <c r="BD55" s="230">
        <v>26</v>
      </c>
      <c r="BE55" s="230">
        <v>28</v>
      </c>
      <c r="BF55" s="230">
        <v>30</v>
      </c>
    </row>
    <row r="56" spans="1:58">
      <c r="C56" s="190">
        <v>2.5000000000000001E-2</v>
      </c>
      <c r="F56" s="190">
        <f t="shared" si="28"/>
        <v>6.9172712864724408</v>
      </c>
      <c r="AA56" s="190">
        <f>0.56/SQRT(CE9*CE9/4+0.077*0.077)</f>
        <v>7.2727272727272734</v>
      </c>
      <c r="AB56" s="190">
        <f>0.56/SQRT(CF9*CF9/4+0.077*0.077)</f>
        <v>6.0995809599559045</v>
      </c>
      <c r="AC56" s="190">
        <f>0.56/SQRT(CG9*CG9/4+0.077*0.077)</f>
        <v>4.4370443621690736</v>
      </c>
      <c r="AD56" s="190">
        <f>0.56/SQRT(CH9*CH9/4+0.077*0.077)</f>
        <v>3.3212933448538715</v>
      </c>
      <c r="AT56" s="230">
        <v>0.1</v>
      </c>
      <c r="AU56" s="233">
        <v>5.0140786892899261</v>
      </c>
      <c r="AV56" s="230">
        <v>4.7169028891084022</v>
      </c>
      <c r="AW56" s="230">
        <v>4.4114321917992418</v>
      </c>
      <c r="AX56" s="230">
        <v>4.106131549249004</v>
      </c>
      <c r="AY56" s="230">
        <v>3.807449335973152</v>
      </c>
      <c r="AZ56" s="230">
        <v>3.5201346970113589</v>
      </c>
      <c r="BA56" s="230">
        <v>3.24750634005632</v>
      </c>
      <c r="BB56" s="230">
        <v>2.9916959998965811</v>
      </c>
      <c r="BC56" s="230">
        <v>2.7538717313501828</v>
      </c>
      <c r="BD56" s="230">
        <v>2.5344403062821357</v>
      </c>
      <c r="BE56" s="230">
        <v>2.3332267679205598</v>
      </c>
      <c r="BF56" s="230">
        <v>2.1496297474110215</v>
      </c>
    </row>
    <row r="57" spans="1:58">
      <c r="C57" s="190">
        <v>0.05</v>
      </c>
      <c r="F57" s="190">
        <f t="shared" si="28"/>
        <v>6.0995809599559045</v>
      </c>
      <c r="AT57" s="230">
        <v>0.15</v>
      </c>
      <c r="AU57" s="233">
        <v>4.6092342232847425</v>
      </c>
      <c r="AV57" s="230">
        <v>4.4137792010709802</v>
      </c>
      <c r="AW57" s="230">
        <v>4.2075260187196752</v>
      </c>
      <c r="AX57" s="230">
        <v>3.9954312962052838</v>
      </c>
      <c r="AY57" s="230">
        <v>3.7815510436348427</v>
      </c>
      <c r="AZ57" s="230">
        <v>3.5691799322477542</v>
      </c>
      <c r="BA57" s="230">
        <v>3.3609513473424579</v>
      </c>
      <c r="BB57" s="230">
        <v>3.1589199752574384</v>
      </c>
      <c r="BC57" s="230">
        <v>2.9646356659256337</v>
      </c>
      <c r="BD57" s="230">
        <v>2.7792118970823561</v>
      </c>
      <c r="BE57" s="230">
        <v>2.6033898221436922</v>
      </c>
      <c r="BF57" s="230">
        <v>2.4375979060032247</v>
      </c>
    </row>
    <row r="58" spans="1:58">
      <c r="B58" s="190">
        <f>2*C58</f>
        <v>0.15</v>
      </c>
      <c r="C58" s="190">
        <v>7.4999999999999997E-2</v>
      </c>
      <c r="D58" s="190">
        <v>0.38505609522225348</v>
      </c>
      <c r="E58" s="190">
        <f>D58/C58</f>
        <v>5.1340812696300464</v>
      </c>
      <c r="F58" s="190">
        <f t="shared" si="28"/>
        <v>5.2098095248050935</v>
      </c>
      <c r="G58" s="190">
        <v>5.1816273271159954</v>
      </c>
      <c r="H58" s="190">
        <f>G83</f>
        <v>3.3869242004344686</v>
      </c>
      <c r="I58" s="190">
        <f>H58/G58</f>
        <v>0.65364102561184623</v>
      </c>
      <c r="AA58" s="190">
        <f>1/(1/AA54-1/10)</f>
        <v>20.000000000000004</v>
      </c>
      <c r="AB58" s="190" t="s">
        <v>266</v>
      </c>
      <c r="AC58" s="190">
        <f>1/AA58</f>
        <v>4.9999999999999989E-2</v>
      </c>
      <c r="AD58" s="190" t="s">
        <v>16</v>
      </c>
      <c r="AE58" s="190">
        <f>1/(1/AE54-1/5)</f>
        <v>20.000000000000004</v>
      </c>
      <c r="AF58" s="190" t="s">
        <v>266</v>
      </c>
      <c r="AG58" s="190">
        <f>1/AE58</f>
        <v>4.9999999999999989E-2</v>
      </c>
      <c r="AH58" s="190" t="s">
        <v>16</v>
      </c>
      <c r="AT58" s="230">
        <v>0.2</v>
      </c>
      <c r="AU58" s="233">
        <v>4.1248016174903652</v>
      </c>
      <c r="AV58" s="230">
        <v>3.9935779579201318</v>
      </c>
      <c r="AW58" s="230">
        <v>3.8528647328494228</v>
      </c>
      <c r="AX58" s="230">
        <v>3.7056043221888051</v>
      </c>
      <c r="AY58" s="230">
        <v>3.5542803479740797</v>
      </c>
      <c r="AZ58" s="230">
        <v>3.4009994621507333</v>
      </c>
      <c r="BA58" s="230">
        <v>3.2475431478725696</v>
      </c>
      <c r="BB58" s="230">
        <v>3.0954052826940353</v>
      </c>
      <c r="BC58" s="230">
        <v>2.9458225721333098</v>
      </c>
      <c r="BD58" s="230">
        <v>2.7998012101165699</v>
      </c>
      <c r="BE58" s="230">
        <v>2.6581413514901877</v>
      </c>
      <c r="BF58" s="230">
        <v>2.5214601025729055</v>
      </c>
    </row>
    <row r="59" spans="1:58">
      <c r="B59" s="190">
        <f>2*C59</f>
        <v>0.2</v>
      </c>
      <c r="C59" s="190">
        <v>0.1</v>
      </c>
      <c r="D59" s="190">
        <v>0.44593482307496801</v>
      </c>
      <c r="E59" s="190">
        <f>D59/C59</f>
        <v>4.4593482307496801</v>
      </c>
      <c r="F59" s="190">
        <f t="shared" si="28"/>
        <v>4.4370443621690736</v>
      </c>
      <c r="G59" s="190">
        <v>4.4197168047248088</v>
      </c>
      <c r="H59" s="190">
        <f>H83</f>
        <v>3.266864028728552</v>
      </c>
      <c r="I59" s="190">
        <f t="shared" ref="I59:I61" si="29">H59/G59</f>
        <v>0.73915686752512677</v>
      </c>
      <c r="AA59" s="190">
        <f>1/(1/AA55-1/10)</f>
        <v>20.000000000000004</v>
      </c>
      <c r="AE59" s="190">
        <f>1/(1/AE55-1/5)</f>
        <v>20.000000000000004</v>
      </c>
      <c r="AT59" s="231">
        <v>0.25</v>
      </c>
      <c r="AU59" s="233">
        <v>3.6680385072101278</v>
      </c>
      <c r="AV59" s="230">
        <v>3.5774331791391409</v>
      </c>
      <c r="AW59" s="230">
        <v>3.4792407660877633</v>
      </c>
      <c r="AX59" s="230">
        <v>3.3752765678438874</v>
      </c>
      <c r="AY59" s="230">
        <v>3.26709357311386</v>
      </c>
      <c r="AZ59" s="230">
        <v>3.1560372443843119</v>
      </c>
      <c r="BA59" s="230">
        <v>3.0432782987454696</v>
      </c>
      <c r="BB59" s="230">
        <v>2.9298345208390502</v>
      </c>
      <c r="BC59" s="230">
        <v>2.8165867877645856</v>
      </c>
      <c r="BD59" s="230">
        <v>2.7042919168233088</v>
      </c>
      <c r="BE59" s="230">
        <v>2.593593708916758</v>
      </c>
      <c r="BF59" s="230">
        <v>2.4850329215329126</v>
      </c>
    </row>
    <row r="60" spans="1:58">
      <c r="B60" s="190">
        <f>2*C60</f>
        <v>0.3</v>
      </c>
      <c r="C60" s="190">
        <v>0.15</v>
      </c>
      <c r="D60" s="190">
        <v>0.50829578631970562</v>
      </c>
      <c r="E60" s="190">
        <f>D60/C60</f>
        <v>3.3886385754647042</v>
      </c>
      <c r="F60" s="190">
        <f t="shared" si="28"/>
        <v>3.3212933448538715</v>
      </c>
      <c r="G60" s="190">
        <v>3.3136048859394811</v>
      </c>
      <c r="H60" s="190">
        <f>I83</f>
        <v>2.8261133182847757</v>
      </c>
      <c r="I60" s="190">
        <f t="shared" si="29"/>
        <v>0.85288180563613258</v>
      </c>
      <c r="AA60" s="190">
        <f>1/(1/AA56-1/10)</f>
        <v>26.666666666666682</v>
      </c>
      <c r="AC60" s="190">
        <f>1/AA60</f>
        <v>3.7499999999999978E-2</v>
      </c>
      <c r="AD60" s="190" t="s">
        <v>16</v>
      </c>
      <c r="AT60" s="231">
        <v>0.3</v>
      </c>
      <c r="AU60" s="233">
        <v>3.2700344843152984</v>
      </c>
      <c r="AV60" s="230">
        <v>3.2055279551970637</v>
      </c>
      <c r="AW60" s="230">
        <v>3.1351056105056219</v>
      </c>
      <c r="AX60" s="230">
        <v>3.0599394481946831</v>
      </c>
      <c r="AY60" s="230">
        <v>2.9810366568051858</v>
      </c>
      <c r="AZ60" s="230">
        <v>2.8992786434488558</v>
      </c>
      <c r="BA60" s="230">
        <v>2.8154439546184289</v>
      </c>
      <c r="BB60" s="230">
        <v>2.7302229397911124</v>
      </c>
      <c r="BC60" s="230">
        <v>2.6442278999283948</v>
      </c>
      <c r="BD60" s="230">
        <v>2.5580006556898089</v>
      </c>
      <c r="BE60" s="230">
        <v>2.4720185941074133</v>
      </c>
      <c r="BF60" s="230">
        <v>2.386699795370558</v>
      </c>
    </row>
    <row r="61" spans="1:58">
      <c r="B61" s="190">
        <f>2*C61</f>
        <v>0.4</v>
      </c>
      <c r="C61" s="190">
        <v>0.2</v>
      </c>
      <c r="D61" s="190">
        <v>0.53086550098997509</v>
      </c>
      <c r="E61" s="190">
        <f>D61/C61</f>
        <v>2.6543275049498751</v>
      </c>
      <c r="F61" s="190">
        <f t="shared" si="28"/>
        <v>2.6130308199428858</v>
      </c>
      <c r="G61" s="190">
        <v>2.608998835202831</v>
      </c>
      <c r="H61" s="190">
        <f>J83</f>
        <v>2.3968498534168798</v>
      </c>
      <c r="I61" s="190">
        <f t="shared" si="29"/>
        <v>0.91868567401278345</v>
      </c>
      <c r="AT61" s="239">
        <v>0.4</v>
      </c>
      <c r="AU61" s="238">
        <v>2.6487141991255641</v>
      </c>
      <c r="AV61" s="237">
        <v>2.6130838088649662</v>
      </c>
      <c r="AW61" s="237">
        <v>2.5738283164635876</v>
      </c>
      <c r="AX61" s="237">
        <v>2.5315030262387572</v>
      </c>
      <c r="AY61" s="237">
        <v>2.4865837899022085</v>
      </c>
      <c r="AZ61" s="237">
        <v>2.4394888983428729</v>
      </c>
      <c r="BA61" s="237">
        <v>2.3905919145123375</v>
      </c>
      <c r="BB61" s="237">
        <v>2.3402297415528128</v>
      </c>
      <c r="BC61" s="237">
        <v>2.2887079945731372</v>
      </c>
      <c r="BD61" s="237">
        <v>2.2363047635026585</v>
      </c>
      <c r="BE61" s="237">
        <v>2.1832733775745528</v>
      </c>
      <c r="BF61" s="237">
        <v>2.1298445319353325</v>
      </c>
    </row>
    <row r="62" spans="1:58">
      <c r="AT62" s="240">
        <v>0.1</v>
      </c>
      <c r="AU62" s="241">
        <v>3.3536759198381021</v>
      </c>
      <c r="AV62" s="240">
        <v>3.2233121640263889</v>
      </c>
      <c r="AW62" s="240">
        <v>3.0850029331829276</v>
      </c>
      <c r="AX62" s="240">
        <v>2.9419372527943444</v>
      </c>
      <c r="AY62" s="240">
        <v>2.796755207543431</v>
      </c>
      <c r="AZ62" s="240">
        <v>2.6516356859417174</v>
      </c>
      <c r="BA62" s="240">
        <v>2.5083566955584082</v>
      </c>
      <c r="BB62" s="240">
        <v>2.3683432583521249</v>
      </c>
      <c r="BC62" s="240">
        <v>2.2327092205861021</v>
      </c>
      <c r="BD62" s="240">
        <v>2.1022956305383826</v>
      </c>
      <c r="BE62" s="240">
        <v>1.9777066789689</v>
      </c>
      <c r="BF62" s="240">
        <v>1.8593434456630973</v>
      </c>
    </row>
    <row r="63" spans="1:58" ht="15.75" thickBot="1">
      <c r="AA63" s="1" t="s">
        <v>172</v>
      </c>
      <c r="AB63" s="8" t="s">
        <v>2</v>
      </c>
      <c r="AC63" s="9" t="s">
        <v>1</v>
      </c>
      <c r="AT63" s="240">
        <v>0.15</v>
      </c>
      <c r="AU63" s="241">
        <v>3.1619672391258362</v>
      </c>
      <c r="AV63" s="240">
        <v>3.0711700117820944</v>
      </c>
      <c r="AW63" s="240">
        <v>2.973354614402727</v>
      </c>
      <c r="AX63" s="240">
        <v>2.8704662435915909</v>
      </c>
      <c r="AY63" s="240">
        <v>2.7641578613183193</v>
      </c>
      <c r="AZ63" s="240">
        <v>2.6558457482822861</v>
      </c>
      <c r="BA63" s="240">
        <v>2.5467436874194518</v>
      </c>
      <c r="BB63" s="240">
        <v>2.4378867753883431</v>
      </c>
      <c r="BC63" s="240">
        <v>2.3301499259293315</v>
      </c>
      <c r="BD63" s="240">
        <v>2.2242635377463835</v>
      </c>
      <c r="BE63" s="240">
        <v>2.120827562253973</v>
      </c>
      <c r="BF63" s="240">
        <v>2.0203245791045208</v>
      </c>
    </row>
    <row r="64" spans="1:58">
      <c r="A64" s="270"/>
      <c r="AA64" s="1">
        <f>AB64/1000/SQRT(AC64/100)</f>
        <v>1</v>
      </c>
      <c r="AB64" s="3">
        <v>1000</v>
      </c>
      <c r="AC64" s="3">
        <v>100</v>
      </c>
      <c r="AT64" s="240">
        <v>0.2</v>
      </c>
      <c r="AU64" s="241">
        <v>2.9112884149523768</v>
      </c>
      <c r="AV64" s="240">
        <v>2.8465026333252101</v>
      </c>
      <c r="AW64" s="240">
        <v>2.7760375989536468</v>
      </c>
      <c r="AX64" s="240">
        <v>2.7011331098539877</v>
      </c>
      <c r="AY64" s="240">
        <v>2.6228528113797651</v>
      </c>
      <c r="AZ64" s="240">
        <v>2.5421233111499086</v>
      </c>
      <c r="BA64" s="240">
        <v>2.4597573192957229</v>
      </c>
      <c r="BB64" s="240">
        <v>2.3764687090560277</v>
      </c>
      <c r="BC64" s="240">
        <v>2.2928832354048478</v>
      </c>
      <c r="BD64" s="240">
        <v>2.2095468225834778</v>
      </c>
      <c r="BE64" s="240">
        <v>2.126932447960908</v>
      </c>
      <c r="BF64" s="240">
        <v>2.0454461907527981</v>
      </c>
    </row>
    <row r="65" spans="1:58" ht="15.75" thickBot="1">
      <c r="A65" s="270" t="s">
        <v>826</v>
      </c>
      <c r="B65" s="1"/>
      <c r="C65" s="8"/>
      <c r="D65" s="9"/>
      <c r="J65" s="270" t="s">
        <v>814</v>
      </c>
      <c r="AT65" s="242">
        <v>0.25</v>
      </c>
      <c r="AU65" s="241">
        <v>2.6538363491022117</v>
      </c>
      <c r="AV65" s="240">
        <v>2.606714689652573</v>
      </c>
      <c r="AW65" s="240">
        <v>2.5551229714372443</v>
      </c>
      <c r="AX65" s="240">
        <v>2.4998803951073425</v>
      </c>
      <c r="AY65" s="240">
        <v>2.4416911888474395</v>
      </c>
      <c r="AZ65" s="240">
        <v>2.3811732218718076</v>
      </c>
      <c r="BA65" s="240">
        <v>2.3188747613744023</v>
      </c>
      <c r="BB65" s="240">
        <v>2.2552850945874967</v>
      </c>
      <c r="BC65" s="240">
        <v>2.1908417548973929</v>
      </c>
      <c r="BD65" s="240">
        <v>2.1259357777895396</v>
      </c>
      <c r="BE65" s="240">
        <v>2.060915775053882</v>
      </c>
      <c r="BF65" s="240">
        <v>1.996091282384614</v>
      </c>
    </row>
    <row r="66" spans="1:58">
      <c r="A66" s="270" t="s">
        <v>1180</v>
      </c>
      <c r="B66" s="1">
        <f>B72/1000/SQRT(B78/100)</f>
        <v>9.7135949278079739E-2</v>
      </c>
      <c r="C66" s="1">
        <f t="shared" ref="C66:M66" si="30">C72/1000/SQRT(C78/100)</f>
        <v>0.14500593119308969</v>
      </c>
      <c r="D66" s="1">
        <f t="shared" si="30"/>
        <v>0.18330428677330063</v>
      </c>
      <c r="E66" s="1">
        <f t="shared" si="30"/>
        <v>0.21646692329098458</v>
      </c>
      <c r="F66" s="1">
        <f t="shared" si="30"/>
        <v>0.24626851579138526</v>
      </c>
      <c r="G66" s="1">
        <f t="shared" si="30"/>
        <v>0.31131191855695955</v>
      </c>
      <c r="H66" s="1">
        <f t="shared" si="30"/>
        <v>0.36763315457636192</v>
      </c>
      <c r="I66" s="1">
        <f t="shared" si="30"/>
        <v>0.46473087438129584</v>
      </c>
      <c r="J66" s="1">
        <f t="shared" si="30"/>
        <v>0.54880801920395117</v>
      </c>
      <c r="K66" s="1">
        <f t="shared" si="30"/>
        <v>0.62436391800185986</v>
      </c>
      <c r="L66" s="1">
        <f t="shared" si="30"/>
        <v>0.69375688089400211</v>
      </c>
      <c r="M66" s="1">
        <f t="shared" si="30"/>
        <v>0.75841143045046555</v>
      </c>
      <c r="O66" s="86" t="s">
        <v>1239</v>
      </c>
      <c r="AA66" s="190" t="s">
        <v>1248</v>
      </c>
      <c r="AG66" s="190" t="s">
        <v>1342</v>
      </c>
      <c r="AI66" s="297"/>
      <c r="AT66" s="240">
        <v>0.3</v>
      </c>
      <c r="AU66" s="241">
        <v>2.4131639442645234</v>
      </c>
      <c r="AV66" s="240">
        <v>2.378204941324543</v>
      </c>
      <c r="AW66" s="240">
        <v>2.3397469363089889</v>
      </c>
      <c r="AX66" s="240">
        <v>2.2983502788880132</v>
      </c>
      <c r="AY66" s="240">
        <v>2.2544957834920574</v>
      </c>
      <c r="AZ66" s="240">
        <v>2.2086061413182154</v>
      </c>
      <c r="BA66" s="240">
        <v>2.161058459580933</v>
      </c>
      <c r="BB66" s="240">
        <v>2.112192149964359</v>
      </c>
      <c r="BC66" s="240">
        <v>2.0623141975073023</v>
      </c>
      <c r="BD66" s="240">
        <v>2.0117028758269968</v>
      </c>
      <c r="BE66" s="240">
        <v>1.9606105054579188</v>
      </c>
      <c r="BF66" s="240">
        <v>1.9092656062001616</v>
      </c>
    </row>
    <row r="67" spans="1:58">
      <c r="A67" s="243" t="s">
        <v>898</v>
      </c>
      <c r="B67" s="190">
        <f>B76</f>
        <v>0.02</v>
      </c>
      <c r="C67" s="243">
        <f t="shared" ref="C67:M67" si="31">C76</f>
        <v>0.04</v>
      </c>
      <c r="D67" s="243">
        <f t="shared" si="31"/>
        <v>0.06</v>
      </c>
      <c r="E67" s="243">
        <f t="shared" si="31"/>
        <v>0.08</v>
      </c>
      <c r="F67" s="243">
        <f t="shared" si="31"/>
        <v>0.1</v>
      </c>
      <c r="G67" s="243">
        <f t="shared" si="31"/>
        <v>0.15</v>
      </c>
      <c r="H67" s="313">
        <f t="shared" si="31"/>
        <v>0.2</v>
      </c>
      <c r="I67" s="243">
        <f t="shared" si="31"/>
        <v>0.3</v>
      </c>
      <c r="J67" s="243">
        <f t="shared" si="31"/>
        <v>0.4</v>
      </c>
      <c r="K67" s="243">
        <f t="shared" si="31"/>
        <v>0.5</v>
      </c>
      <c r="L67" s="243">
        <f t="shared" si="31"/>
        <v>0.6</v>
      </c>
      <c r="M67" s="243">
        <f t="shared" si="31"/>
        <v>0.7</v>
      </c>
      <c r="AT67" s="240">
        <v>0.4</v>
      </c>
      <c r="AU67" s="241">
        <v>2.0084600605231526</v>
      </c>
      <c r="AV67" s="240">
        <v>1.9880351629264841</v>
      </c>
      <c r="AW67" s="240">
        <v>1.9654251765396866</v>
      </c>
      <c r="AX67" s="240">
        <v>1.9409187502225047</v>
      </c>
      <c r="AY67" s="240">
        <v>1.9147614447943042</v>
      </c>
      <c r="AZ67" s="240">
        <v>1.8871684108007136</v>
      </c>
      <c r="BA67" s="240">
        <v>1.8583318600184469</v>
      </c>
      <c r="BB67" s="240">
        <v>1.8284257741202141</v>
      </c>
      <c r="BC67" s="240">
        <v>1.7976090307225068</v>
      </c>
      <c r="BD67" s="240">
        <v>1.7660275699135644</v>
      </c>
      <c r="BE67" s="240">
        <v>1.7338159533144537</v>
      </c>
      <c r="BF67" s="240">
        <v>1.7010985254600766</v>
      </c>
    </row>
    <row r="68" spans="1:58">
      <c r="A68" s="243" t="s">
        <v>899</v>
      </c>
      <c r="B68" s="260">
        <v>20</v>
      </c>
      <c r="C68" s="166">
        <f>B68</f>
        <v>20</v>
      </c>
      <c r="D68" s="166">
        <f t="shared" ref="D68:M68" si="32">C68</f>
        <v>20</v>
      </c>
      <c r="E68" s="166">
        <f t="shared" si="32"/>
        <v>20</v>
      </c>
      <c r="F68" s="166">
        <f t="shared" si="32"/>
        <v>20</v>
      </c>
      <c r="G68" s="166">
        <f t="shared" si="32"/>
        <v>20</v>
      </c>
      <c r="H68" s="216">
        <f t="shared" si="32"/>
        <v>20</v>
      </c>
      <c r="I68" s="166">
        <f t="shared" si="32"/>
        <v>20</v>
      </c>
      <c r="J68" s="166">
        <f t="shared" si="32"/>
        <v>20</v>
      </c>
      <c r="K68" s="166">
        <f t="shared" si="32"/>
        <v>20</v>
      </c>
      <c r="L68" s="166">
        <f t="shared" si="32"/>
        <v>20</v>
      </c>
      <c r="M68" s="167">
        <f t="shared" si="32"/>
        <v>20</v>
      </c>
      <c r="AJ68" s="190" t="s">
        <v>1246</v>
      </c>
      <c r="AT68" s="190" t="s">
        <v>1254</v>
      </c>
    </row>
    <row r="69" spans="1:58">
      <c r="A69" s="243" t="s">
        <v>813</v>
      </c>
      <c r="B69" s="261">
        <v>30</v>
      </c>
      <c r="C69" s="180">
        <f t="shared" ref="C69:M69" si="33">B69</f>
        <v>30</v>
      </c>
      <c r="D69" s="180">
        <f t="shared" si="33"/>
        <v>30</v>
      </c>
      <c r="E69" s="180">
        <f t="shared" si="33"/>
        <v>30</v>
      </c>
      <c r="F69" s="180">
        <f t="shared" si="33"/>
        <v>30</v>
      </c>
      <c r="G69" s="180">
        <f t="shared" si="33"/>
        <v>30</v>
      </c>
      <c r="H69" s="268">
        <f t="shared" si="33"/>
        <v>30</v>
      </c>
      <c r="I69" s="180">
        <f t="shared" si="33"/>
        <v>30</v>
      </c>
      <c r="J69" s="180">
        <f t="shared" si="33"/>
        <v>30</v>
      </c>
      <c r="K69" s="180">
        <f t="shared" si="33"/>
        <v>30</v>
      </c>
      <c r="L69" s="180">
        <f t="shared" si="33"/>
        <v>30</v>
      </c>
      <c r="M69" s="202">
        <f t="shared" si="33"/>
        <v>30</v>
      </c>
      <c r="AJ69" s="86" t="s">
        <v>1239</v>
      </c>
    </row>
    <row r="70" spans="1:58">
      <c r="A70" s="243" t="s">
        <v>812</v>
      </c>
      <c r="B70" s="179">
        <f>B68+(B69-B68)*B82</f>
        <v>20.246502699074181</v>
      </c>
      <c r="C70" s="180">
        <f t="shared" ref="C70:M70" si="34">C68+(C69-C68)*C82</f>
        <v>20.874786377329944</v>
      </c>
      <c r="D70" s="180">
        <f t="shared" si="34"/>
        <v>21.536585685601022</v>
      </c>
      <c r="E70" s="180">
        <f t="shared" si="34"/>
        <v>22.170179983757592</v>
      </c>
      <c r="F70" s="180">
        <f t="shared" si="34"/>
        <v>22.767554834535375</v>
      </c>
      <c r="G70" s="180">
        <f t="shared" si="34"/>
        <v>24.093974933423038</v>
      </c>
      <c r="H70" s="268">
        <f t="shared" si="34"/>
        <v>25.176059474880709</v>
      </c>
      <c r="I70" s="180">
        <f t="shared" si="34"/>
        <v>26.698786575354895</v>
      </c>
      <c r="J70" s="180">
        <f t="shared" si="34"/>
        <v>27.629139848993518</v>
      </c>
      <c r="K70" s="180">
        <f t="shared" si="34"/>
        <v>28.217373032766382</v>
      </c>
      <c r="L70" s="180">
        <f t="shared" si="34"/>
        <v>28.607960222916901</v>
      </c>
      <c r="M70" s="202">
        <f t="shared" si="34"/>
        <v>28.879504188845811</v>
      </c>
      <c r="AJ70" s="190" t="s">
        <v>1241</v>
      </c>
      <c r="AK70" s="190" t="s">
        <v>1245</v>
      </c>
      <c r="AL70" s="190" t="s">
        <v>1242</v>
      </c>
      <c r="AM70" s="190" t="s">
        <v>820</v>
      </c>
      <c r="AN70" s="190" t="s">
        <v>1243</v>
      </c>
      <c r="AO70" s="190" t="s">
        <v>1244</v>
      </c>
      <c r="AP70" s="190" t="s">
        <v>1247</v>
      </c>
      <c r="AT70" s="86" t="s">
        <v>674</v>
      </c>
      <c r="AU70" s="240"/>
      <c r="AV70" s="240"/>
      <c r="AW70" s="240"/>
      <c r="AX70" s="240"/>
      <c r="AY70" s="240"/>
      <c r="AZ70" s="240"/>
      <c r="BA70" s="240"/>
      <c r="BB70" s="240"/>
      <c r="BC70" s="240"/>
      <c r="BD70" s="240"/>
      <c r="BE70" s="240"/>
    </row>
    <row r="71" spans="1:58">
      <c r="A71" s="262" t="s">
        <v>900</v>
      </c>
      <c r="B71" s="308">
        <f>(B69-B68)*B83</f>
        <v>17.452385615121905</v>
      </c>
      <c r="C71" s="309">
        <f t="shared" ref="C71:M71" si="35">(C69-C68)*C83</f>
        <v>24.374922870626236</v>
      </c>
      <c r="D71" s="309">
        <f t="shared" si="35"/>
        <v>28.578054926249827</v>
      </c>
      <c r="E71" s="309">
        <f t="shared" si="35"/>
        <v>31.221787741755591</v>
      </c>
      <c r="F71" s="309">
        <f t="shared" si="35"/>
        <v>32.810170408133871</v>
      </c>
      <c r="G71" s="309">
        <f t="shared" si="35"/>
        <v>33.869242004344684</v>
      </c>
      <c r="H71" s="307">
        <f t="shared" si="35"/>
        <v>32.66864028728552</v>
      </c>
      <c r="I71" s="309">
        <f t="shared" si="35"/>
        <v>28.261133182847757</v>
      </c>
      <c r="J71" s="309">
        <f t="shared" si="35"/>
        <v>23.968498534168798</v>
      </c>
      <c r="K71" s="309">
        <f t="shared" si="35"/>
        <v>20.502778166274403</v>
      </c>
      <c r="L71" s="309">
        <f t="shared" si="35"/>
        <v>17.789895307386516</v>
      </c>
      <c r="M71" s="310">
        <f t="shared" si="35"/>
        <v>15.654152149101119</v>
      </c>
      <c r="AJ71" s="190">
        <v>6</v>
      </c>
      <c r="AL71" s="190">
        <v>75</v>
      </c>
      <c r="AM71" s="297">
        <v>7265.5060846121196</v>
      </c>
      <c r="AN71" s="190">
        <f>2.5*AM71</f>
        <v>18163.765211530299</v>
      </c>
      <c r="AO71" s="190">
        <f>AJ71*1000/20</f>
        <v>300</v>
      </c>
      <c r="AP71" s="190">
        <f>AN71+AO71</f>
        <v>18463.765211530299</v>
      </c>
      <c r="AT71" s="243" t="s">
        <v>685</v>
      </c>
    </row>
    <row r="72" spans="1:58">
      <c r="A72" s="243" t="s">
        <v>811</v>
      </c>
      <c r="B72" s="168">
        <f>60*B80</f>
        <v>29.140784783423918</v>
      </c>
      <c r="C72" s="235">
        <f t="shared" ref="C72:M72" si="36">60*C80</f>
        <v>43.5017793579269</v>
      </c>
      <c r="D72" s="235">
        <f t="shared" si="36"/>
        <v>54.991286031990185</v>
      </c>
      <c r="E72" s="235">
        <f t="shared" si="36"/>
        <v>64.94007698729537</v>
      </c>
      <c r="F72" s="235">
        <f t="shared" si="36"/>
        <v>73.880554737415579</v>
      </c>
      <c r="G72" s="235">
        <f t="shared" si="36"/>
        <v>93.393575567087851</v>
      </c>
      <c r="H72" s="312">
        <f t="shared" si="36"/>
        <v>110.28994637290856</v>
      </c>
      <c r="I72" s="235">
        <f t="shared" si="36"/>
        <v>139.41926231438876</v>
      </c>
      <c r="J72" s="235">
        <f t="shared" si="36"/>
        <v>164.64240576118536</v>
      </c>
      <c r="K72" s="235">
        <f t="shared" si="36"/>
        <v>187.30917540055793</v>
      </c>
      <c r="L72" s="235">
        <f t="shared" si="36"/>
        <v>208.12706426820063</v>
      </c>
      <c r="M72" s="170">
        <f t="shared" si="36"/>
        <v>227.52342913513965</v>
      </c>
      <c r="AJ72" s="190">
        <v>12</v>
      </c>
      <c r="AL72" s="190">
        <v>54</v>
      </c>
      <c r="AM72" s="190">
        <v>4874.0871820231696</v>
      </c>
      <c r="AN72" s="297">
        <f t="shared" ref="AN72:AN79" si="37">2.5*AM72</f>
        <v>12185.217955057924</v>
      </c>
      <c r="AO72" s="297">
        <f t="shared" ref="AO72:AO75" si="38">AJ72*1000/20</f>
        <v>600</v>
      </c>
      <c r="AP72" s="297">
        <f t="shared" ref="AP72:AP75" si="39">AN72+AO72</f>
        <v>12785.217955057924</v>
      </c>
      <c r="AT72" s="243" t="s">
        <v>686</v>
      </c>
    </row>
    <row r="73" spans="1:58">
      <c r="A73" s="243" t="s">
        <v>785</v>
      </c>
      <c r="B73" s="243">
        <f>25.3102347763658*B77*B81^1.73/B79^1.19</f>
        <v>9.0000000000000462</v>
      </c>
      <c r="C73" s="243">
        <f t="shared" ref="C73:M73" si="40">25.3102347763658*C77*C81^1.73/C79^1.19</f>
        <v>9.0000000000000462</v>
      </c>
      <c r="D73" s="243">
        <f t="shared" si="40"/>
        <v>9.0000000000000462</v>
      </c>
      <c r="E73" s="243">
        <f t="shared" si="40"/>
        <v>9.0000000000000409</v>
      </c>
      <c r="F73" s="243">
        <f t="shared" si="40"/>
        <v>9.0000000000000426</v>
      </c>
      <c r="G73" s="243">
        <f t="shared" si="40"/>
        <v>9.0000000000000444</v>
      </c>
      <c r="H73" s="246">
        <f t="shared" si="40"/>
        <v>9.0000000000000444</v>
      </c>
      <c r="I73" s="243">
        <f t="shared" si="40"/>
        <v>9.0000000000000462</v>
      </c>
      <c r="J73" s="243">
        <f t="shared" si="40"/>
        <v>9.0000000000000409</v>
      </c>
      <c r="K73" s="243">
        <f t="shared" si="40"/>
        <v>9.0000000000000426</v>
      </c>
      <c r="L73" s="243">
        <f t="shared" si="40"/>
        <v>9.0000000000000444</v>
      </c>
      <c r="M73" s="243">
        <f t="shared" si="40"/>
        <v>9.0000000000000444</v>
      </c>
      <c r="AJ73" s="190">
        <v>24</v>
      </c>
      <c r="AL73" s="190">
        <v>39</v>
      </c>
      <c r="AM73" s="190">
        <v>3605.8417547006065</v>
      </c>
      <c r="AN73" s="297">
        <f t="shared" si="37"/>
        <v>9014.6043867515164</v>
      </c>
      <c r="AO73" s="297">
        <f t="shared" si="38"/>
        <v>1200</v>
      </c>
      <c r="AP73" s="297">
        <f t="shared" si="39"/>
        <v>10214.604386751516</v>
      </c>
      <c r="AT73" s="245" t="s">
        <v>608</v>
      </c>
      <c r="AU73" s="246">
        <v>0.02</v>
      </c>
      <c r="AV73" s="243">
        <v>0.04</v>
      </c>
      <c r="AW73" s="243">
        <v>0.06</v>
      </c>
      <c r="AX73" s="243">
        <v>0.08</v>
      </c>
      <c r="AY73" s="243">
        <v>0.1</v>
      </c>
      <c r="AZ73" s="244">
        <v>0.15</v>
      </c>
      <c r="BA73" s="244">
        <v>0.2</v>
      </c>
      <c r="BB73" s="243">
        <v>0.3</v>
      </c>
      <c r="BC73" s="243">
        <v>0.4</v>
      </c>
      <c r="BD73" s="243">
        <v>0.5</v>
      </c>
      <c r="BE73" s="243">
        <v>0.6</v>
      </c>
      <c r="BF73" s="243">
        <v>0.7</v>
      </c>
    </row>
    <row r="74" spans="1:58">
      <c r="A74" s="244" t="s">
        <v>827</v>
      </c>
      <c r="B74" s="263">
        <f>B77/B81/24/3600</f>
        <v>0.18020526748661081</v>
      </c>
      <c r="C74" s="263">
        <f t="shared" ref="C74:M74" si="41">C77/C81/24/3600</f>
        <v>6.0357564612006719E-2</v>
      </c>
      <c r="D74" s="263">
        <f t="shared" si="41"/>
        <v>3.1831242702779039E-2</v>
      </c>
      <c r="E74" s="263">
        <f t="shared" si="41"/>
        <v>2.0216032842454192E-2</v>
      </c>
      <c r="F74" s="263">
        <f t="shared" si="41"/>
        <v>1.4215710575890467E-2</v>
      </c>
      <c r="G74" s="263">
        <f t="shared" si="41"/>
        <v>7.4970508906785334E-3</v>
      </c>
      <c r="H74" s="311">
        <f t="shared" si="41"/>
        <v>4.7613795176861123E-3</v>
      </c>
      <c r="I74" s="263">
        <f t="shared" si="41"/>
        <v>2.5110460967366168E-3</v>
      </c>
      <c r="J74" s="263">
        <f t="shared" si="41"/>
        <v>1.5947662123826521E-3</v>
      </c>
      <c r="K74" s="263">
        <f t="shared" si="41"/>
        <v>1.1214235299337131E-3</v>
      </c>
      <c r="L74" s="263">
        <f t="shared" si="41"/>
        <v>8.4104437756664634E-4</v>
      </c>
      <c r="M74" s="263">
        <f t="shared" si="41"/>
        <v>6.5943889026888426E-4</v>
      </c>
      <c r="AJ74" s="190">
        <v>48</v>
      </c>
      <c r="AL74" s="190">
        <v>30</v>
      </c>
      <c r="AM74" s="190">
        <v>3131.7248401335664</v>
      </c>
      <c r="AN74" s="297">
        <f t="shared" si="37"/>
        <v>7829.3121003339165</v>
      </c>
      <c r="AO74" s="297">
        <f t="shared" si="38"/>
        <v>2400</v>
      </c>
      <c r="AP74" s="297">
        <f t="shared" si="39"/>
        <v>10229.312100333917</v>
      </c>
      <c r="AT74" s="243" t="s">
        <v>675</v>
      </c>
      <c r="AU74" s="246">
        <f t="shared" ref="AU74:BF74" si="42">B83</f>
        <v>1.7452385615121906</v>
      </c>
      <c r="AV74" s="246">
        <f t="shared" si="42"/>
        <v>2.4374922870626237</v>
      </c>
      <c r="AW74" s="246">
        <f t="shared" si="42"/>
        <v>2.8578054926249825</v>
      </c>
      <c r="AX74" s="246">
        <f t="shared" si="42"/>
        <v>3.1221787741755591</v>
      </c>
      <c r="AY74" s="246">
        <f t="shared" si="42"/>
        <v>3.2810170408133872</v>
      </c>
      <c r="AZ74" s="246">
        <f t="shared" si="42"/>
        <v>3.3869242004344686</v>
      </c>
      <c r="BA74" s="246">
        <f t="shared" si="42"/>
        <v>3.266864028728552</v>
      </c>
      <c r="BB74" s="246">
        <f t="shared" si="42"/>
        <v>2.8261133182847757</v>
      </c>
      <c r="BC74" s="246">
        <f t="shared" si="42"/>
        <v>2.3968498534168798</v>
      </c>
      <c r="BD74" s="246">
        <f t="shared" si="42"/>
        <v>2.0502778166274402</v>
      </c>
      <c r="BE74" s="246">
        <f t="shared" si="42"/>
        <v>1.7789895307386516</v>
      </c>
      <c r="BF74" s="246">
        <f t="shared" si="42"/>
        <v>1.5654152149101119</v>
      </c>
    </row>
    <row r="75" spans="1:58">
      <c r="A75" s="214" t="s">
        <v>124</v>
      </c>
      <c r="B75" s="219">
        <v>19</v>
      </c>
      <c r="C75" s="190">
        <f t="shared" ref="C75:M75" si="43">B75</f>
        <v>19</v>
      </c>
      <c r="D75" s="190">
        <f t="shared" si="43"/>
        <v>19</v>
      </c>
      <c r="E75" s="190">
        <f t="shared" si="43"/>
        <v>19</v>
      </c>
      <c r="F75" s="190">
        <f t="shared" si="43"/>
        <v>19</v>
      </c>
      <c r="G75" s="190">
        <f t="shared" si="43"/>
        <v>19</v>
      </c>
      <c r="H75" s="246">
        <f t="shared" si="43"/>
        <v>19</v>
      </c>
      <c r="I75" s="190">
        <f t="shared" si="43"/>
        <v>19</v>
      </c>
      <c r="J75" s="190">
        <f t="shared" si="43"/>
        <v>19</v>
      </c>
      <c r="K75" s="190">
        <f t="shared" si="43"/>
        <v>19</v>
      </c>
      <c r="L75" s="190">
        <f t="shared" si="43"/>
        <v>19</v>
      </c>
      <c r="M75" s="190">
        <f t="shared" si="43"/>
        <v>19</v>
      </c>
      <c r="AJ75" s="190">
        <v>96</v>
      </c>
      <c r="AL75" s="190">
        <v>25</v>
      </c>
      <c r="AM75" s="190">
        <v>2934.1835751984709</v>
      </c>
      <c r="AN75" s="297">
        <f t="shared" si="37"/>
        <v>7335.4589379961772</v>
      </c>
      <c r="AO75" s="297">
        <f t="shared" si="38"/>
        <v>4800</v>
      </c>
      <c r="AP75" s="297">
        <f t="shared" si="39"/>
        <v>12135.458937996176</v>
      </c>
      <c r="AT75" s="242" t="s">
        <v>371</v>
      </c>
      <c r="AU75" s="243"/>
      <c r="AV75" s="243"/>
      <c r="AW75" s="243"/>
      <c r="AX75" s="243"/>
      <c r="AY75" s="243">
        <v>7.5</v>
      </c>
      <c r="AZ75" s="243">
        <v>6.9230769230769234</v>
      </c>
      <c r="BA75" s="243">
        <v>6.4285714285714288</v>
      </c>
      <c r="BB75" s="243">
        <v>5.2941176470588234</v>
      </c>
      <c r="BC75" s="243"/>
      <c r="BD75" s="243"/>
      <c r="BE75" s="243"/>
      <c r="BF75" s="243"/>
    </row>
    <row r="76" spans="1:58">
      <c r="A76" s="181" t="s">
        <v>608</v>
      </c>
      <c r="B76" s="217">
        <v>0.02</v>
      </c>
      <c r="C76" s="190">
        <v>0.04</v>
      </c>
      <c r="D76" s="190">
        <v>0.06</v>
      </c>
      <c r="E76" s="190">
        <v>0.08</v>
      </c>
      <c r="F76" s="190">
        <v>0.1</v>
      </c>
      <c r="G76" s="145">
        <v>0.15</v>
      </c>
      <c r="H76" s="268">
        <v>0.2</v>
      </c>
      <c r="I76" s="190">
        <v>0.3</v>
      </c>
      <c r="J76" s="190">
        <v>0.4</v>
      </c>
      <c r="K76" s="190">
        <v>0.5</v>
      </c>
      <c r="L76" s="190">
        <v>0.6</v>
      </c>
      <c r="M76" s="190">
        <v>0.7</v>
      </c>
      <c r="AN76" s="297"/>
      <c r="AO76" s="297"/>
      <c r="AP76" s="297"/>
      <c r="AT76" s="243" t="s">
        <v>676</v>
      </c>
      <c r="AU76" s="246">
        <v>3.9684613070965793</v>
      </c>
      <c r="AV76" s="243">
        <v>3.9339333361852225</v>
      </c>
      <c r="AW76" s="243">
        <v>3.8716571985290633</v>
      </c>
      <c r="AX76" s="243">
        <v>3.7875141228695459</v>
      </c>
      <c r="AY76" s="243">
        <v>3.6862990421609982</v>
      </c>
      <c r="AZ76" s="243">
        <v>3.3879805493970876</v>
      </c>
      <c r="BA76" s="243">
        <v>3.0700959377109878</v>
      </c>
      <c r="BB76" s="243">
        <v>2.4973208819789803</v>
      </c>
      <c r="BC76" s="243">
        <v>2.0571447076468079</v>
      </c>
      <c r="BD76" s="243">
        <v>1.7304029643492325</v>
      </c>
      <c r="BE76" s="243">
        <v>1.4852171092646025</v>
      </c>
      <c r="BF76" s="243">
        <v>1.2970562057778987</v>
      </c>
    </row>
    <row r="77" spans="1:58">
      <c r="A77" s="305" t="s">
        <v>16</v>
      </c>
      <c r="B77" s="306">
        <f t="shared" ref="B77:M77" si="44">B75/B76</f>
        <v>950</v>
      </c>
      <c r="C77" s="305">
        <f t="shared" si="44"/>
        <v>475</v>
      </c>
      <c r="D77" s="305">
        <f t="shared" si="44"/>
        <v>316.66666666666669</v>
      </c>
      <c r="E77" s="305">
        <f t="shared" si="44"/>
        <v>237.5</v>
      </c>
      <c r="F77" s="305">
        <f t="shared" si="44"/>
        <v>190</v>
      </c>
      <c r="G77" s="305">
        <f t="shared" si="44"/>
        <v>126.66666666666667</v>
      </c>
      <c r="H77" s="306">
        <f t="shared" si="44"/>
        <v>95</v>
      </c>
      <c r="I77" s="305">
        <f t="shared" si="44"/>
        <v>63.333333333333336</v>
      </c>
      <c r="J77" s="305">
        <f t="shared" si="44"/>
        <v>47.5</v>
      </c>
      <c r="K77" s="305">
        <f t="shared" si="44"/>
        <v>38</v>
      </c>
      <c r="L77" s="305">
        <f t="shared" si="44"/>
        <v>31.666666666666668</v>
      </c>
      <c r="M77" s="305">
        <f t="shared" si="44"/>
        <v>27.142857142857146</v>
      </c>
      <c r="AJ77" s="297">
        <v>42</v>
      </c>
      <c r="AK77" s="297">
        <v>100</v>
      </c>
      <c r="AL77" s="297">
        <v>32.5</v>
      </c>
      <c r="AM77" s="297">
        <v>3247.4486681945255</v>
      </c>
      <c r="AN77" s="297">
        <f t="shared" si="37"/>
        <v>8118.6216704863136</v>
      </c>
      <c r="AO77" s="297">
        <v>1044</v>
      </c>
      <c r="AP77" s="297">
        <f t="shared" ref="AP77:AP79" si="45">AN77+AO77</f>
        <v>9162.6216704863145</v>
      </c>
      <c r="AU77" s="190">
        <v>6.4814066168652866</v>
      </c>
      <c r="AV77" s="190">
        <v>6.4140733211247198</v>
      </c>
      <c r="AW77" s="190">
        <v>6.2542885480202743</v>
      </c>
      <c r="AX77" s="190">
        <v>6.0367932789107304</v>
      </c>
      <c r="AY77" s="190">
        <v>5.7832043893350695</v>
      </c>
      <c r="AZ77" s="243">
        <v>5.0942389093218967</v>
      </c>
      <c r="BA77" s="243">
        <v>4.4422596429345882</v>
      </c>
      <c r="BB77" s="243">
        <v>3.4217722673498661</v>
      </c>
      <c r="BC77" s="190">
        <v>2.7313450856679871</v>
      </c>
      <c r="BD77" s="190">
        <v>2.255482399690131</v>
      </c>
      <c r="BE77" s="190">
        <v>1.9139375700153278</v>
      </c>
      <c r="BF77" s="190">
        <v>1.6590950535996221</v>
      </c>
    </row>
    <row r="78" spans="1:58">
      <c r="A78" s="154" t="s">
        <v>1</v>
      </c>
      <c r="B78" s="220">
        <v>9</v>
      </c>
      <c r="C78" s="166">
        <f t="shared" ref="C78:L79" si="46">B78</f>
        <v>9</v>
      </c>
      <c r="D78" s="166">
        <f t="shared" si="46"/>
        <v>9</v>
      </c>
      <c r="E78" s="166">
        <f t="shared" si="46"/>
        <v>9</v>
      </c>
      <c r="F78" s="166">
        <f t="shared" si="46"/>
        <v>9</v>
      </c>
      <c r="G78" s="166">
        <f t="shared" si="46"/>
        <v>9</v>
      </c>
      <c r="H78" s="216">
        <f t="shared" si="46"/>
        <v>9</v>
      </c>
      <c r="I78" s="166">
        <f t="shared" si="46"/>
        <v>9</v>
      </c>
      <c r="J78" s="166">
        <f t="shared" si="46"/>
        <v>9</v>
      </c>
      <c r="K78" s="166">
        <f t="shared" si="46"/>
        <v>9</v>
      </c>
      <c r="L78" s="166">
        <f t="shared" si="46"/>
        <v>9</v>
      </c>
      <c r="M78" s="166">
        <f>L78</f>
        <v>9</v>
      </c>
      <c r="AJ78" s="297">
        <v>50</v>
      </c>
      <c r="AK78" s="297">
        <v>50</v>
      </c>
      <c r="AL78" s="297">
        <v>29.7</v>
      </c>
      <c r="AM78" s="297">
        <v>3118.5646533344088</v>
      </c>
      <c r="AN78" s="297">
        <f t="shared" si="37"/>
        <v>7796.4116333360216</v>
      </c>
      <c r="AO78" s="297">
        <v>1484</v>
      </c>
      <c r="AP78" s="297">
        <f t="shared" si="45"/>
        <v>9280.4116333360216</v>
      </c>
      <c r="AU78" s="190">
        <f>AU74/AU77</f>
        <v>0.26926848825853639</v>
      </c>
      <c r="AV78" s="243">
        <f t="shared" ref="AV78:BF78" si="47">AV74/AV77</f>
        <v>0.38002251689807698</v>
      </c>
      <c r="AW78" s="243">
        <f t="shared" si="47"/>
        <v>0.45693534455323287</v>
      </c>
      <c r="AX78" s="243">
        <f t="shared" si="47"/>
        <v>0.5171915998983686</v>
      </c>
      <c r="AY78" s="243">
        <f t="shared" si="47"/>
        <v>0.56733548045854654</v>
      </c>
      <c r="AZ78" s="243">
        <f t="shared" si="47"/>
        <v>0.66485382030999174</v>
      </c>
      <c r="BA78" s="243">
        <f t="shared" si="47"/>
        <v>0.73540591755470608</v>
      </c>
      <c r="BB78" s="243">
        <f t="shared" si="47"/>
        <v>0.82592092561249753</v>
      </c>
      <c r="BC78" s="243">
        <f t="shared" si="47"/>
        <v>0.8775346132547357</v>
      </c>
      <c r="BD78" s="243">
        <f t="shared" si="47"/>
        <v>0.90901964781862954</v>
      </c>
      <c r="BE78" s="243">
        <f t="shared" si="47"/>
        <v>0.9294919325526404</v>
      </c>
      <c r="BF78" s="243">
        <f t="shared" si="47"/>
        <v>0.9435355807455037</v>
      </c>
    </row>
    <row r="79" spans="1:58">
      <c r="A79" s="154" t="s">
        <v>415</v>
      </c>
      <c r="B79" s="220">
        <v>13</v>
      </c>
      <c r="C79" s="190">
        <f>B79</f>
        <v>13</v>
      </c>
      <c r="D79" s="190">
        <f t="shared" si="46"/>
        <v>13</v>
      </c>
      <c r="E79" s="190">
        <f t="shared" si="46"/>
        <v>13</v>
      </c>
      <c r="F79" s="190">
        <f t="shared" si="46"/>
        <v>13</v>
      </c>
      <c r="G79" s="190">
        <f t="shared" si="46"/>
        <v>13</v>
      </c>
      <c r="H79" s="246">
        <f t="shared" si="46"/>
        <v>13</v>
      </c>
      <c r="I79" s="190">
        <f t="shared" si="46"/>
        <v>13</v>
      </c>
      <c r="J79" s="190">
        <f t="shared" si="46"/>
        <v>13</v>
      </c>
      <c r="K79" s="190">
        <f t="shared" si="46"/>
        <v>13</v>
      </c>
      <c r="L79" s="190">
        <f t="shared" si="46"/>
        <v>13</v>
      </c>
      <c r="M79" s="190">
        <f t="shared" ref="M79" si="48">L79</f>
        <v>13</v>
      </c>
      <c r="AJ79" s="297">
        <v>60</v>
      </c>
      <c r="AK79" s="297">
        <v>25</v>
      </c>
      <c r="AL79" s="297">
        <v>28.8</v>
      </c>
      <c r="AM79" s="297">
        <v>3075.7944258316866</v>
      </c>
      <c r="AN79" s="297">
        <f t="shared" si="37"/>
        <v>7689.486064579216</v>
      </c>
      <c r="AO79" s="297">
        <v>2364</v>
      </c>
      <c r="AP79" s="297">
        <f t="shared" si="45"/>
        <v>10053.486064579216</v>
      </c>
      <c r="AY79" s="190">
        <f>AY75/AY74</f>
        <v>2.2858765762888869</v>
      </c>
      <c r="AZ79" s="243">
        <f t="shared" ref="AZ79:BB79" si="49">AZ75/AZ74</f>
        <v>2.0440601895338677</v>
      </c>
      <c r="BA79" s="243">
        <f t="shared" si="49"/>
        <v>1.9678111399920732</v>
      </c>
      <c r="BB79" s="243">
        <f t="shared" si="49"/>
        <v>1.87328569339602</v>
      </c>
    </row>
    <row r="80" spans="1:58">
      <c r="A80" s="262" t="s">
        <v>607</v>
      </c>
      <c r="B80" s="307">
        <f t="shared" ref="B80:M80" si="50">EXP(LN(B78*B79^4.65/5000/B77)/1.73)</f>
        <v>0.48567974639039863</v>
      </c>
      <c r="C80" s="262">
        <f t="shared" si="50"/>
        <v>0.72502965596544833</v>
      </c>
      <c r="D80" s="262">
        <f t="shared" si="50"/>
        <v>0.91652143386650309</v>
      </c>
      <c r="E80" s="262">
        <f t="shared" si="50"/>
        <v>1.0823346164549228</v>
      </c>
      <c r="F80" s="262">
        <f t="shared" si="50"/>
        <v>1.2313425789569263</v>
      </c>
      <c r="G80" s="262">
        <f t="shared" si="50"/>
        <v>1.5565595927847975</v>
      </c>
      <c r="H80" s="307">
        <f t="shared" si="50"/>
        <v>1.8381657728818093</v>
      </c>
      <c r="I80" s="262">
        <f t="shared" si="50"/>
        <v>2.3236543719064793</v>
      </c>
      <c r="J80" s="262">
        <f t="shared" si="50"/>
        <v>2.7440400960197562</v>
      </c>
      <c r="K80" s="262">
        <f t="shared" si="50"/>
        <v>3.1218195900092987</v>
      </c>
      <c r="L80" s="262">
        <f t="shared" si="50"/>
        <v>3.4687844044700107</v>
      </c>
      <c r="M80" s="262">
        <f t="shared" si="50"/>
        <v>3.7920571522523274</v>
      </c>
      <c r="AJ80" s="297"/>
      <c r="AK80" s="297">
        <f>6000/160</f>
        <v>37.5</v>
      </c>
      <c r="AL80" s="297" t="s">
        <v>266</v>
      </c>
      <c r="AM80" s="297"/>
      <c r="AN80" s="297"/>
      <c r="AO80" s="297"/>
      <c r="AP80" s="297"/>
    </row>
    <row r="81" spans="1:58">
      <c r="A81" s="314" t="s">
        <v>606</v>
      </c>
      <c r="B81" s="315">
        <f t="shared" ref="B81:M81" si="51">B80/60/(B79*B79*3.14/4)*1000</f>
        <v>6.1015810046658715E-2</v>
      </c>
      <c r="C81" s="314">
        <f t="shared" si="51"/>
        <v>9.1085271921185998E-2</v>
      </c>
      <c r="D81" s="314">
        <f t="shared" si="51"/>
        <v>0.1151423301632562</v>
      </c>
      <c r="E81" s="314">
        <f t="shared" si="51"/>
        <v>0.13597339369275024</v>
      </c>
      <c r="F81" s="314">
        <f t="shared" si="51"/>
        <v>0.15469322214562073</v>
      </c>
      <c r="G81" s="314">
        <f t="shared" si="51"/>
        <v>0.19555014419588157</v>
      </c>
      <c r="H81" s="315">
        <f t="shared" si="51"/>
        <v>0.23092824946064769</v>
      </c>
      <c r="I81" s="314">
        <f t="shared" si="51"/>
        <v>0.29192004571746877</v>
      </c>
      <c r="J81" s="314">
        <f t="shared" si="51"/>
        <v>0.34473298609527209</v>
      </c>
      <c r="K81" s="314">
        <f t="shared" si="51"/>
        <v>0.39219331775641636</v>
      </c>
      <c r="L81" s="314">
        <f t="shared" si="51"/>
        <v>0.43578240988831657</v>
      </c>
      <c r="M81" s="314">
        <f t="shared" si="51"/>
        <v>0.47639507434167866</v>
      </c>
      <c r="AJ81" s="190" t="s">
        <v>1249</v>
      </c>
      <c r="AU81" s="71" t="s">
        <v>650</v>
      </c>
    </row>
    <row r="82" spans="1:58">
      <c r="A82" s="212" t="s">
        <v>605</v>
      </c>
      <c r="B82" s="218">
        <f t="shared" ref="B82:M82" si="52">EXP(-B77*B$84/B$85)</f>
        <v>2.4650269907418101E-2</v>
      </c>
      <c r="C82" s="169">
        <f t="shared" si="52"/>
        <v>8.7478637732994316E-2</v>
      </c>
      <c r="D82" s="169">
        <f t="shared" si="52"/>
        <v>0.15365856856010215</v>
      </c>
      <c r="E82" s="169">
        <f t="shared" si="52"/>
        <v>0.21701799837575922</v>
      </c>
      <c r="F82" s="169">
        <f t="shared" si="52"/>
        <v>0.27675548345353757</v>
      </c>
      <c r="G82" s="169">
        <f t="shared" si="52"/>
        <v>0.4093974933423038</v>
      </c>
      <c r="H82" s="218">
        <f t="shared" si="52"/>
        <v>0.51760594748807087</v>
      </c>
      <c r="I82" s="169">
        <f t="shared" si="52"/>
        <v>0.66987865753548936</v>
      </c>
      <c r="J82" s="169">
        <f t="shared" si="52"/>
        <v>0.76291398489935158</v>
      </c>
      <c r="K82" s="169">
        <f t="shared" si="52"/>
        <v>0.82173730327663841</v>
      </c>
      <c r="L82" s="169">
        <f t="shared" si="52"/>
        <v>0.86079602229168994</v>
      </c>
      <c r="M82" s="169">
        <f t="shared" si="52"/>
        <v>0.88795041888458104</v>
      </c>
      <c r="AJ82" s="190" t="s">
        <v>1250</v>
      </c>
      <c r="AN82" s="190" t="s">
        <v>521</v>
      </c>
      <c r="AU82" s="190">
        <v>8</v>
      </c>
      <c r="AV82" s="190">
        <v>9</v>
      </c>
      <c r="AW82" s="190">
        <v>10</v>
      </c>
      <c r="AX82" s="190">
        <v>11</v>
      </c>
      <c r="AY82" s="190">
        <v>12</v>
      </c>
      <c r="AZ82" s="190">
        <v>13</v>
      </c>
      <c r="BA82" s="190">
        <v>14</v>
      </c>
      <c r="BB82" s="190">
        <v>15</v>
      </c>
      <c r="BC82" s="190">
        <v>16</v>
      </c>
      <c r="BD82" s="190">
        <v>17</v>
      </c>
      <c r="BE82" s="190">
        <v>18</v>
      </c>
      <c r="BF82" s="190">
        <v>19</v>
      </c>
    </row>
    <row r="83" spans="1:58">
      <c r="A83" s="71" t="s">
        <v>603</v>
      </c>
      <c r="B83" s="217">
        <f t="shared" ref="B83:M83" si="53">(1-B82)*B80/60*4200/B75</f>
        <v>1.7452385615121906</v>
      </c>
      <c r="C83" s="190">
        <f t="shared" si="53"/>
        <v>2.4374922870626237</v>
      </c>
      <c r="D83" s="190">
        <f t="shared" si="53"/>
        <v>2.8578054926249825</v>
      </c>
      <c r="E83" s="190">
        <f t="shared" si="53"/>
        <v>3.1221787741755591</v>
      </c>
      <c r="F83" s="190">
        <f t="shared" si="53"/>
        <v>3.2810170408133872</v>
      </c>
      <c r="G83" s="190">
        <f t="shared" si="53"/>
        <v>3.3869242004344686</v>
      </c>
      <c r="H83" s="246">
        <f t="shared" si="53"/>
        <v>3.266864028728552</v>
      </c>
      <c r="I83" s="190">
        <f t="shared" si="53"/>
        <v>2.8261133182847757</v>
      </c>
      <c r="J83" s="190">
        <f t="shared" si="53"/>
        <v>2.3968498534168798</v>
      </c>
      <c r="K83" s="190">
        <f t="shared" si="53"/>
        <v>2.0502778166274402</v>
      </c>
      <c r="L83" s="190">
        <f t="shared" si="53"/>
        <v>1.7789895307386516</v>
      </c>
      <c r="M83" s="190">
        <f t="shared" si="53"/>
        <v>1.5654152149101119</v>
      </c>
      <c r="O83" s="243"/>
      <c r="AJ83" s="190" t="s">
        <v>1251</v>
      </c>
      <c r="AL83" s="190">
        <f>160/0.2</f>
        <v>800</v>
      </c>
      <c r="AM83" s="190" t="s">
        <v>16</v>
      </c>
      <c r="AN83" s="190">
        <f>AL83*15.1</f>
        <v>12080</v>
      </c>
      <c r="AO83" s="190" t="s">
        <v>1252</v>
      </c>
      <c r="AT83" s="190">
        <v>5</v>
      </c>
      <c r="AU83" s="190">
        <v>1.5447975997339041</v>
      </c>
      <c r="AV83" s="190">
        <v>1.9983980254028915</v>
      </c>
      <c r="AW83" s="190">
        <v>2.4343273298064418</v>
      </c>
      <c r="AX83" s="190">
        <v>2.8289797053794898</v>
      </c>
      <c r="AY83" s="190">
        <v>3.1730645308785026</v>
      </c>
      <c r="AZ83" s="190">
        <v>3.4664832135473178</v>
      </c>
      <c r="BA83" s="190">
        <v>3.7137200337711529</v>
      </c>
      <c r="BB83" s="190">
        <v>3.9209212589968732</v>
      </c>
      <c r="BC83" s="190">
        <v>4.0943556685528026</v>
      </c>
      <c r="BD83" s="190">
        <v>4.2397266858420215</v>
      </c>
      <c r="BE83" s="190">
        <v>4.3619405036807404</v>
      </c>
      <c r="BF83" s="190">
        <v>4.4650933097800989</v>
      </c>
    </row>
    <row r="84" spans="1:58">
      <c r="A84" s="190" t="s">
        <v>602</v>
      </c>
      <c r="B84" s="179">
        <f>$B$87/SQRT(B76*B76+$B$88*$B$88)*B76</f>
        <v>0.13251783128981587</v>
      </c>
      <c r="C84" s="180">
        <f t="shared" ref="C84:M84" si="54">$B$87/SQRT(C76*C76+$B$88*$B$88)*C76</f>
        <v>0.26031654938238741</v>
      </c>
      <c r="D84" s="180">
        <f t="shared" si="54"/>
        <v>0.37947331922020555</v>
      </c>
      <c r="E84" s="180">
        <f t="shared" si="54"/>
        <v>0.48736615926413712</v>
      </c>
      <c r="F84" s="180">
        <f t="shared" si="54"/>
        <v>0.58277151741435851</v>
      </c>
      <c r="G84" s="180">
        <f t="shared" si="54"/>
        <v>0.76822127959737574</v>
      </c>
      <c r="H84" s="246">
        <f t="shared" si="54"/>
        <v>0.89195297549659947</v>
      </c>
      <c r="I84" s="180">
        <f t="shared" si="54"/>
        <v>1.0289915108550529</v>
      </c>
      <c r="J84" s="180">
        <f t="shared" si="54"/>
        <v>1.0943058062101276</v>
      </c>
      <c r="K84" s="180">
        <f t="shared" si="54"/>
        <v>1.1290648942424721</v>
      </c>
      <c r="L84" s="180">
        <f t="shared" si="54"/>
        <v>1.1493915422653818</v>
      </c>
      <c r="M84" s="180">
        <f t="shared" si="54"/>
        <v>1.1621915191162193</v>
      </c>
      <c r="AJ84" s="190">
        <v>4400</v>
      </c>
      <c r="AK84" s="190" t="s">
        <v>1253</v>
      </c>
      <c r="AN84" s="190">
        <f>AN83</f>
        <v>12080</v>
      </c>
      <c r="AO84" s="190">
        <f>2*4400</f>
        <v>8800</v>
      </c>
      <c r="AP84" s="190">
        <f>(AN84+AO84)/20</f>
        <v>1044</v>
      </c>
      <c r="AT84" s="190">
        <v>10</v>
      </c>
      <c r="AU84" s="190">
        <v>2.1262102555304434</v>
      </c>
      <c r="AV84" s="190">
        <v>2.616560544883344</v>
      </c>
      <c r="AW84" s="190">
        <v>3.0441800330563069</v>
      </c>
      <c r="AX84" s="190">
        <v>3.4027922312592151</v>
      </c>
      <c r="AY84" s="190">
        <v>3.6975542535878096</v>
      </c>
      <c r="AZ84" s="190">
        <v>3.937769650985314</v>
      </c>
      <c r="BA84" s="190">
        <v>4.133193323733594</v>
      </c>
      <c r="BB84" s="190">
        <v>4.2925343337063175</v>
      </c>
      <c r="BC84" s="190">
        <v>4.4230411545689412</v>
      </c>
      <c r="BD84" s="190">
        <v>4.5305451405057431</v>
      </c>
      <c r="BE84" s="190">
        <v>4.6196617981018084</v>
      </c>
      <c r="BF84" s="190">
        <v>4.6940198300761855</v>
      </c>
    </row>
    <row r="85" spans="1:58">
      <c r="A85" s="190" t="s">
        <v>604</v>
      </c>
      <c r="B85" s="217">
        <f t="shared" ref="B85:M85" si="55">B81*B79*B79*3.14/4000000*1000*4200</f>
        <v>33.997582247327905</v>
      </c>
      <c r="C85" s="190">
        <f t="shared" si="55"/>
        <v>50.752075917581401</v>
      </c>
      <c r="D85" s="190">
        <f t="shared" si="55"/>
        <v>64.156500370655209</v>
      </c>
      <c r="E85" s="190">
        <f t="shared" si="55"/>
        <v>75.763423151844592</v>
      </c>
      <c r="F85" s="190">
        <f t="shared" si="55"/>
        <v>86.193980526984859</v>
      </c>
      <c r="G85" s="190">
        <f t="shared" si="55"/>
        <v>108.95917149493586</v>
      </c>
      <c r="H85" s="218">
        <f t="shared" si="55"/>
        <v>128.6716041017267</v>
      </c>
      <c r="I85" s="190">
        <f t="shared" si="55"/>
        <v>162.65580603345359</v>
      </c>
      <c r="J85" s="190">
        <f t="shared" si="55"/>
        <v>192.08280672138292</v>
      </c>
      <c r="K85" s="190">
        <f t="shared" si="55"/>
        <v>218.52737130065088</v>
      </c>
      <c r="L85" s="190">
        <f t="shared" si="55"/>
        <v>242.81490831290077</v>
      </c>
      <c r="M85" s="190">
        <f t="shared" si="55"/>
        <v>265.44400065766297</v>
      </c>
      <c r="AN85" s="297">
        <f t="shared" ref="AN85:AN86" si="56">AN84</f>
        <v>12080</v>
      </c>
      <c r="AO85" s="190">
        <f>2*AO84</f>
        <v>17600</v>
      </c>
      <c r="AP85" s="297">
        <f t="shared" ref="AP85:AP86" si="57">(AN85+AO85)/20</f>
        <v>1484</v>
      </c>
      <c r="AT85" s="190">
        <v>15</v>
      </c>
      <c r="AU85" s="190">
        <v>2.4891264019431465</v>
      </c>
      <c r="AV85" s="190">
        <v>2.972326043335042</v>
      </c>
      <c r="AW85" s="190">
        <v>3.3736224014288592</v>
      </c>
      <c r="AX85" s="190">
        <v>3.6981456436332993</v>
      </c>
      <c r="AY85" s="190">
        <v>3.957760760343052</v>
      </c>
      <c r="AZ85" s="190">
        <v>4.1650619369815916</v>
      </c>
      <c r="BA85" s="190">
        <v>4.3311027476429622</v>
      </c>
      <c r="BB85" s="190">
        <v>4.4648625977649736</v>
      </c>
      <c r="BC85" s="190">
        <v>4.5733839354839825</v>
      </c>
      <c r="BD85" s="190">
        <v>4.6621056396973461</v>
      </c>
      <c r="BE85" s="190">
        <v>4.7352067785254661</v>
      </c>
      <c r="BF85" s="190">
        <v>4.7959002798174186</v>
      </c>
    </row>
    <row r="86" spans="1:58">
      <c r="A86" s="244" t="s">
        <v>679</v>
      </c>
      <c r="B86" s="180"/>
      <c r="C86" s="243" t="s">
        <v>680</v>
      </c>
      <c r="D86" s="243" t="s">
        <v>681</v>
      </c>
      <c r="E86" s="243" t="s">
        <v>683</v>
      </c>
      <c r="F86" s="243" t="s">
        <v>684</v>
      </c>
      <c r="G86" s="243" t="s">
        <v>682</v>
      </c>
      <c r="AN86" s="297">
        <f t="shared" si="56"/>
        <v>12080</v>
      </c>
      <c r="AO86" s="190">
        <f>2*AO85</f>
        <v>35200</v>
      </c>
      <c r="AP86" s="297">
        <f t="shared" si="57"/>
        <v>2364</v>
      </c>
      <c r="AT86" s="190">
        <v>20</v>
      </c>
      <c r="AU86" s="190">
        <v>2.7458446854793244</v>
      </c>
      <c r="AV86" s="190">
        <v>3.212763266502435</v>
      </c>
      <c r="AW86" s="190">
        <v>3.5889060260001835</v>
      </c>
      <c r="AX86" s="190">
        <v>3.8864256035609137</v>
      </c>
      <c r="AY86" s="190">
        <v>4.120596645792082</v>
      </c>
      <c r="AZ86" s="190">
        <v>4.305323848014285</v>
      </c>
      <c r="BA86" s="190">
        <v>4.4519262042854741</v>
      </c>
      <c r="BB86" s="190">
        <v>4.5691899732340282</v>
      </c>
      <c r="BC86" s="190">
        <v>4.6637994406566872</v>
      </c>
      <c r="BD86" s="190">
        <v>4.7408061369048244</v>
      </c>
      <c r="BE86" s="190">
        <v>4.8040295304277008</v>
      </c>
      <c r="BF86" s="190">
        <v>4.8563701483742658</v>
      </c>
    </row>
    <row r="87" spans="1:58">
      <c r="A87" s="242" t="s">
        <v>677</v>
      </c>
      <c r="B87" s="244">
        <v>1.2</v>
      </c>
      <c r="C87" s="71">
        <v>1.2</v>
      </c>
      <c r="D87" s="71">
        <v>0.96</v>
      </c>
      <c r="E87" s="244">
        <v>1.22</v>
      </c>
      <c r="F87" s="244">
        <v>2.1</v>
      </c>
      <c r="G87" s="190">
        <v>1.1200000000000001</v>
      </c>
      <c r="I87" s="243"/>
      <c r="L87" s="190">
        <v>1.1493915422653818</v>
      </c>
      <c r="M87" s="190">
        <v>1.1621915191162193</v>
      </c>
      <c r="R87" s="244" t="s">
        <v>818</v>
      </c>
      <c r="Y87" s="243"/>
      <c r="Z87" s="243"/>
    </row>
    <row r="88" spans="1:58">
      <c r="A88" s="242" t="s">
        <v>678</v>
      </c>
      <c r="B88" s="244">
        <v>0.18</v>
      </c>
      <c r="C88" s="71">
        <v>0.18</v>
      </c>
      <c r="D88" s="71">
        <v>0.24</v>
      </c>
      <c r="E88" s="244">
        <v>0.16</v>
      </c>
      <c r="F88" s="244">
        <v>0.26</v>
      </c>
      <c r="G88" s="190">
        <v>0.154</v>
      </c>
      <c r="I88" s="243"/>
      <c r="L88" s="190">
        <f>L84/L87</f>
        <v>1</v>
      </c>
      <c r="M88" s="243">
        <f>M84/M87</f>
        <v>1</v>
      </c>
      <c r="R88" s="262" t="s">
        <v>825</v>
      </c>
      <c r="Z88" s="243"/>
      <c r="AA88" s="243"/>
      <c r="AB88" s="243"/>
      <c r="AC88" s="243"/>
    </row>
    <row r="89" spans="1:58">
      <c r="B89" s="71" t="s">
        <v>658</v>
      </c>
      <c r="R89" s="243" t="s">
        <v>608</v>
      </c>
      <c r="S89" s="243" t="s">
        <v>817</v>
      </c>
      <c r="T89" s="243" t="s">
        <v>816</v>
      </c>
      <c r="U89" s="243"/>
      <c r="V89" s="243" t="s">
        <v>820</v>
      </c>
      <c r="X89" s="243" t="s">
        <v>821</v>
      </c>
      <c r="Y89" s="243" t="s">
        <v>824</v>
      </c>
      <c r="Z89" s="243" t="s">
        <v>822</v>
      </c>
      <c r="AA89" s="243"/>
      <c r="AB89" s="243" t="s">
        <v>823</v>
      </c>
      <c r="AM89" s="190">
        <f>3.27*19</f>
        <v>62.13</v>
      </c>
      <c r="AN89" s="190">
        <f>1000/55*0.6</f>
        <v>10.90909090909091</v>
      </c>
      <c r="AO89" s="190">
        <f>62.1/AN89</f>
        <v>5.6924999999999999</v>
      </c>
    </row>
    <row r="90" spans="1:58">
      <c r="A90" s="190">
        <v>0</v>
      </c>
      <c r="B90" s="190">
        <f t="shared" ref="B90:M100" si="58">EXP(-$A90/10*B$77*B$84/B$85)</f>
        <v>1</v>
      </c>
      <c r="C90" s="190">
        <f t="shared" si="58"/>
        <v>1</v>
      </c>
      <c r="D90" s="190">
        <f t="shared" si="58"/>
        <v>1</v>
      </c>
      <c r="E90" s="190">
        <f t="shared" si="58"/>
        <v>1</v>
      </c>
      <c r="F90" s="190">
        <f t="shared" si="58"/>
        <v>1</v>
      </c>
      <c r="G90" s="190">
        <f t="shared" si="58"/>
        <v>1</v>
      </c>
      <c r="H90" s="190">
        <f t="shared" si="58"/>
        <v>1</v>
      </c>
      <c r="I90" s="190">
        <f t="shared" si="58"/>
        <v>1</v>
      </c>
      <c r="J90" s="190">
        <f t="shared" si="58"/>
        <v>1</v>
      </c>
      <c r="K90" s="190">
        <f t="shared" si="58"/>
        <v>1</v>
      </c>
      <c r="L90" s="190">
        <f t="shared" si="58"/>
        <v>1</v>
      </c>
      <c r="M90" s="190">
        <f>EXP(-$A90/10*M$77*M$84/M$85)</f>
        <v>1</v>
      </c>
      <c r="R90" s="190">
        <v>15</v>
      </c>
      <c r="S90" s="190">
        <v>23.5</v>
      </c>
      <c r="T90" s="190">
        <v>24.5</v>
      </c>
      <c r="V90" s="190">
        <f>5*24*90/1000</f>
        <v>10.8</v>
      </c>
      <c r="W90" s="190">
        <f>V90/Y94</f>
        <v>2.4269662921348316</v>
      </c>
      <c r="X90" s="190">
        <f>2.6*W90</f>
        <v>6.3101123595505628</v>
      </c>
      <c r="Y90" s="190">
        <f>X91-X90</f>
        <v>8.6242993524608735E-2</v>
      </c>
      <c r="Z90" s="190">
        <f>24*180/R90/10</f>
        <v>28.8</v>
      </c>
      <c r="AA90" s="243">
        <f>Z90-Z91</f>
        <v>7.1999999999999993</v>
      </c>
      <c r="AB90" s="190">
        <f>AA90/Y90</f>
        <v>83.485042735043024</v>
      </c>
      <c r="AL90" s="190" t="s">
        <v>1341</v>
      </c>
    </row>
    <row r="91" spans="1:58">
      <c r="A91" s="190">
        <v>1</v>
      </c>
      <c r="B91" s="190">
        <f t="shared" si="58"/>
        <v>0.6905293905403127</v>
      </c>
      <c r="C91" s="190">
        <f t="shared" si="58"/>
        <v>0.78377282428680672</v>
      </c>
      <c r="D91" s="190">
        <f t="shared" si="58"/>
        <v>0.82919309768399918</v>
      </c>
      <c r="E91" s="190">
        <f t="shared" si="58"/>
        <v>0.85832067802835599</v>
      </c>
      <c r="F91" s="190">
        <f t="shared" si="58"/>
        <v>0.87944690215971111</v>
      </c>
      <c r="G91" s="190">
        <f t="shared" si="58"/>
        <v>0.91456487537448394</v>
      </c>
      <c r="H91" s="190">
        <f t="shared" si="58"/>
        <v>0.93626745150273094</v>
      </c>
      <c r="I91" s="190">
        <f t="shared" si="58"/>
        <v>0.96072615488602997</v>
      </c>
      <c r="J91" s="190">
        <f t="shared" si="58"/>
        <v>0.97330186958243958</v>
      </c>
      <c r="K91" s="190">
        <f t="shared" si="58"/>
        <v>0.98055802928234348</v>
      </c>
      <c r="L91" s="190">
        <f t="shared" si="58"/>
        <v>0.98512201631252116</v>
      </c>
      <c r="M91" s="190">
        <f t="shared" si="58"/>
        <v>0.98818639787307205</v>
      </c>
      <c r="R91" s="190">
        <v>20</v>
      </c>
      <c r="S91" s="190">
        <v>24</v>
      </c>
      <c r="T91" s="190">
        <v>25.1</v>
      </c>
      <c r="V91" s="243">
        <f t="shared" ref="V91:V92" si="59">5*24*90/1000</f>
        <v>10.8</v>
      </c>
      <c r="W91" s="243">
        <f t="shared" ref="W91:W92" si="60">V91/Y95</f>
        <v>2.4601366742596813</v>
      </c>
      <c r="X91" s="243">
        <f t="shared" ref="X91:X92" si="61">2.6*W91</f>
        <v>6.3963553530751716</v>
      </c>
      <c r="Y91" s="243">
        <f>X92-X91</f>
        <v>0.10364464692482844</v>
      </c>
      <c r="Z91" s="243">
        <f t="shared" ref="Z91:Z92" si="62">24*180/R91/10</f>
        <v>21.6</v>
      </c>
      <c r="AA91" s="243">
        <f>Z91-Z92</f>
        <v>7.2000000000000011</v>
      </c>
      <c r="AB91" s="243">
        <f>AA91/Y91</f>
        <v>69.46813186813236</v>
      </c>
      <c r="AL91" s="190" t="s">
        <v>1343</v>
      </c>
    </row>
    <row r="92" spans="1:58">
      <c r="A92" s="190">
        <v>2</v>
      </c>
      <c r="B92" s="190">
        <f t="shared" si="58"/>
        <v>0.47683083919997576</v>
      </c>
      <c r="C92" s="190">
        <f t="shared" si="58"/>
        <v>0.61429984009051752</v>
      </c>
      <c r="D92" s="190">
        <f t="shared" si="58"/>
        <v>0.68756119324678622</v>
      </c>
      <c r="E92" s="190">
        <f t="shared" si="58"/>
        <v>0.73671438633105679</v>
      </c>
      <c r="F92" s="190">
        <f t="shared" si="58"/>
        <v>0.77342685371831243</v>
      </c>
      <c r="G92" s="190">
        <f t="shared" si="58"/>
        <v>0.83642891126874541</v>
      </c>
      <c r="H92" s="190">
        <f t="shared" si="58"/>
        <v>0.87659674074341853</v>
      </c>
      <c r="I92" s="190">
        <f t="shared" si="58"/>
        <v>0.92299474468209608</v>
      </c>
      <c r="J92" s="190">
        <f t="shared" si="58"/>
        <v>0.94731652933267219</v>
      </c>
      <c r="K92" s="190">
        <f t="shared" si="58"/>
        <v>0.96149404879007316</v>
      </c>
      <c r="L92" s="190">
        <f t="shared" si="58"/>
        <v>0.97046538702364715</v>
      </c>
      <c r="M92" s="190">
        <f t="shared" si="58"/>
        <v>0.97651235694135741</v>
      </c>
      <c r="R92" s="190">
        <v>30</v>
      </c>
      <c r="S92" s="190">
        <v>25.2</v>
      </c>
      <c r="T92" s="190">
        <v>25.8</v>
      </c>
      <c r="V92" s="243">
        <f t="shared" si="59"/>
        <v>10.8</v>
      </c>
      <c r="W92" s="243">
        <f t="shared" si="60"/>
        <v>2.5</v>
      </c>
      <c r="X92" s="243">
        <f t="shared" si="61"/>
        <v>6.5</v>
      </c>
      <c r="Y92" s="243"/>
      <c r="Z92" s="243">
        <f t="shared" si="62"/>
        <v>14.4</v>
      </c>
      <c r="AL92" s="297" t="s">
        <v>1344</v>
      </c>
      <c r="AM92" s="297"/>
      <c r="AN92" s="297"/>
      <c r="AO92" s="297"/>
      <c r="AP92" s="297"/>
      <c r="AQ92" s="297"/>
      <c r="AR92" s="297"/>
      <c r="AS92" s="297"/>
      <c r="AT92" s="297"/>
      <c r="AU92" s="297"/>
      <c r="AV92" s="297"/>
      <c r="AW92" s="297"/>
      <c r="AX92" s="297"/>
      <c r="AY92" s="297"/>
    </row>
    <row r="93" spans="1:58">
      <c r="A93" s="190">
        <v>3</v>
      </c>
      <c r="B93" s="190">
        <f t="shared" si="58"/>
        <v>0.32926570878358508</v>
      </c>
      <c r="C93" s="190">
        <f t="shared" si="58"/>
        <v>0.4814715206266787</v>
      </c>
      <c r="D93" s="190">
        <f t="shared" si="58"/>
        <v>0.57012099567560959</v>
      </c>
      <c r="E93" s="190">
        <f t="shared" si="58"/>
        <v>0.63233719158891688</v>
      </c>
      <c r="F93" s="190">
        <f t="shared" si="58"/>
        <v>0.68018785054970188</v>
      </c>
      <c r="G93" s="190">
        <f t="shared" si="58"/>
        <v>0.76496850299411545</v>
      </c>
      <c r="H93" s="190">
        <f t="shared" si="58"/>
        <v>0.8207289964514406</v>
      </c>
      <c r="I93" s="190">
        <f t="shared" si="58"/>
        <v>0.88674519203844315</v>
      </c>
      <c r="J93" s="190">
        <f t="shared" si="58"/>
        <v>0.92202494908583776</v>
      </c>
      <c r="K93" s="190">
        <f t="shared" si="58"/>
        <v>0.94280070964829565</v>
      </c>
      <c r="L93" s="190">
        <f t="shared" si="58"/>
        <v>0.95602681882624641</v>
      </c>
      <c r="M93" s="190">
        <f t="shared" si="58"/>
        <v>0.96497622848442355</v>
      </c>
      <c r="S93" s="243"/>
      <c r="T93" s="243">
        <v>-7</v>
      </c>
      <c r="U93" s="243">
        <v>35</v>
      </c>
      <c r="V93" s="243"/>
      <c r="W93" s="243"/>
      <c r="X93" s="243"/>
      <c r="Y93" s="243">
        <f t="shared" ref="Y93:Y94" si="63">T93*Z93+AA93</f>
        <v>2.6999999999999997</v>
      </c>
      <c r="Z93" s="243">
        <v>0.1</v>
      </c>
      <c r="AA93" s="243">
        <v>3.4</v>
      </c>
      <c r="AL93" s="297" t="s">
        <v>240</v>
      </c>
      <c r="AM93" s="297">
        <v>-1</v>
      </c>
      <c r="AN93" s="297">
        <v>1E-4</v>
      </c>
      <c r="AO93" s="297">
        <v>1</v>
      </c>
      <c r="AP93" s="297">
        <v>5</v>
      </c>
      <c r="AQ93" s="297">
        <v>18</v>
      </c>
      <c r="AR93" s="297">
        <v>20</v>
      </c>
      <c r="AS93" s="297">
        <v>30</v>
      </c>
      <c r="AT93" s="297">
        <v>40</v>
      </c>
      <c r="AU93" s="297">
        <v>50</v>
      </c>
      <c r="AV93" s="297">
        <v>60</v>
      </c>
      <c r="AW93" s="297"/>
      <c r="AX93" s="297"/>
      <c r="AY93" s="297"/>
    </row>
    <row r="94" spans="1:58">
      <c r="A94" s="190">
        <v>4</v>
      </c>
      <c r="B94" s="190">
        <f t="shared" si="58"/>
        <v>0.22736764921215313</v>
      </c>
      <c r="C94" s="190">
        <f t="shared" si="58"/>
        <v>0.37736429353523543</v>
      </c>
      <c r="D94" s="190">
        <f t="shared" si="58"/>
        <v>0.47274039445894456</v>
      </c>
      <c r="E94" s="190">
        <f t="shared" si="58"/>
        <v>0.54274808702714561</v>
      </c>
      <c r="F94" s="190">
        <f t="shared" si="58"/>
        <v>0.59818909805260789</v>
      </c>
      <c r="G94" s="190">
        <f t="shared" si="58"/>
        <v>0.69961332360621875</v>
      </c>
      <c r="H94" s="190">
        <f t="shared" si="58"/>
        <v>0.76842184588198414</v>
      </c>
      <c r="I94" s="190">
        <f t="shared" si="58"/>
        <v>0.85191929871076777</v>
      </c>
      <c r="J94" s="190">
        <f t="shared" si="58"/>
        <v>0.89740860674689948</v>
      </c>
      <c r="K94" s="190">
        <f t="shared" si="58"/>
        <v>0.92447080585872765</v>
      </c>
      <c r="L94" s="190">
        <f t="shared" si="58"/>
        <v>0.94180306741095721</v>
      </c>
      <c r="M94" s="190">
        <f t="shared" si="58"/>
        <v>0.95357638325916505</v>
      </c>
      <c r="S94" s="243"/>
      <c r="T94" s="243">
        <f>35-T90</f>
        <v>10.5</v>
      </c>
      <c r="U94" s="243">
        <v>35</v>
      </c>
      <c r="V94" s="243"/>
      <c r="W94" s="243"/>
      <c r="X94" s="243"/>
      <c r="Y94" s="243">
        <f t="shared" si="63"/>
        <v>4.45</v>
      </c>
      <c r="Z94" s="243">
        <v>0.1</v>
      </c>
      <c r="AA94" s="243">
        <v>3.4</v>
      </c>
      <c r="AL94" s="190" t="s">
        <v>125</v>
      </c>
      <c r="AN94" s="297">
        <f t="shared" ref="AN94:AT94" si="64">AN93/50</f>
        <v>1.9999999999999999E-6</v>
      </c>
      <c r="AO94" s="297">
        <f t="shared" si="64"/>
        <v>0.02</v>
      </c>
      <c r="AP94" s="297">
        <f t="shared" si="64"/>
        <v>0.1</v>
      </c>
      <c r="AQ94" s="297">
        <f t="shared" si="64"/>
        <v>0.36</v>
      </c>
      <c r="AR94" s="297">
        <f t="shared" si="64"/>
        <v>0.4</v>
      </c>
      <c r="AS94" s="297">
        <f t="shared" si="64"/>
        <v>0.6</v>
      </c>
      <c r="AT94" s="297">
        <f t="shared" si="64"/>
        <v>0.8</v>
      </c>
      <c r="AU94" s="190">
        <f>AU93/50</f>
        <v>1</v>
      </c>
      <c r="AW94" s="297"/>
      <c r="AX94" s="297"/>
      <c r="AY94" s="297"/>
    </row>
    <row r="95" spans="1:58">
      <c r="A95" s="190">
        <v>5</v>
      </c>
      <c r="B95" s="190">
        <f t="shared" si="58"/>
        <v>0.1570040442390517</v>
      </c>
      <c r="C95" s="190">
        <f t="shared" si="58"/>
        <v>0.29576787812910704</v>
      </c>
      <c r="D95" s="190">
        <f t="shared" si="58"/>
        <v>0.39199307208176798</v>
      </c>
      <c r="E95" s="190">
        <f t="shared" si="58"/>
        <v>0.46585190605573273</v>
      </c>
      <c r="F95" s="190">
        <f t="shared" si="58"/>
        <v>0.52607554918807775</v>
      </c>
      <c r="G95" s="190">
        <f t="shared" si="58"/>
        <v>0.63984177211424997</v>
      </c>
      <c r="H95" s="190">
        <f t="shared" si="58"/>
        <v>0.71944836332294959</v>
      </c>
      <c r="I95" s="190">
        <f t="shared" si="58"/>
        <v>0.81846115212359916</v>
      </c>
      <c r="J95" s="190">
        <f t="shared" si="58"/>
        <v>0.87344947472612955</v>
      </c>
      <c r="K95" s="190">
        <f t="shared" si="58"/>
        <v>0.90649727152189397</v>
      </c>
      <c r="L95" s="190">
        <f t="shared" si="58"/>
        <v>0.92779093673719937</v>
      </c>
      <c r="M95" s="190">
        <f t="shared" si="58"/>
        <v>0.94231121126970629</v>
      </c>
      <c r="S95" s="243"/>
      <c r="T95" s="243">
        <f t="shared" ref="T95:T96" si="65">35-T91</f>
        <v>9.8999999999999986</v>
      </c>
      <c r="U95" s="243">
        <v>35</v>
      </c>
      <c r="V95" s="243"/>
      <c r="W95" s="243"/>
      <c r="X95" s="243"/>
      <c r="Y95" s="243">
        <f t="shared" ref="Y95:Y96" si="66">T95*Z95+AA95</f>
        <v>4.3899999999999997</v>
      </c>
      <c r="Z95" s="243">
        <v>0.1</v>
      </c>
      <c r="AA95" s="243">
        <v>3.4</v>
      </c>
      <c r="AQ95" s="297">
        <f>AQ97/AQ94</f>
        <v>0.73611111111111116</v>
      </c>
      <c r="AR95" s="297">
        <f>AR97/AR94</f>
        <v>0.7599999999999999</v>
      </c>
      <c r="AS95" s="297">
        <f>AS97/AS94</f>
        <v>0.85833333333333339</v>
      </c>
      <c r="AT95" s="297">
        <f>AT97/AT94</f>
        <v>0.93499999999999994</v>
      </c>
      <c r="AU95" s="190">
        <f>AU97/AU94</f>
        <v>1</v>
      </c>
      <c r="AW95" s="297"/>
      <c r="AX95" s="297" t="s">
        <v>357</v>
      </c>
      <c r="AY95" s="297"/>
    </row>
    <row r="96" spans="1:58">
      <c r="A96" s="190">
        <v>6</v>
      </c>
      <c r="B96" s="190">
        <f t="shared" si="58"/>
        <v>0.10841590698075666</v>
      </c>
      <c r="C96" s="190">
        <f t="shared" si="58"/>
        <v>0.23181482517456631</v>
      </c>
      <c r="D96" s="190">
        <f t="shared" si="58"/>
        <v>0.32503794971014843</v>
      </c>
      <c r="E96" s="190">
        <f t="shared" si="58"/>
        <v>0.3998503238665585</v>
      </c>
      <c r="F96" s="190">
        <f t="shared" si="58"/>
        <v>0.46265551203542365</v>
      </c>
      <c r="G96" s="190">
        <f t="shared" si="58"/>
        <v>0.58517681057305804</v>
      </c>
      <c r="H96" s="190">
        <f t="shared" si="58"/>
        <v>0.67359608561618878</v>
      </c>
      <c r="I96" s="190">
        <f t="shared" si="58"/>
        <v>0.78631703560329547</v>
      </c>
      <c r="J96" s="190">
        <f t="shared" si="58"/>
        <v>0.85013000673674166</v>
      </c>
      <c r="K96" s="190">
        <f t="shared" si="58"/>
        <v>0.88887317811332978</v>
      </c>
      <c r="L96" s="190">
        <f t="shared" si="58"/>
        <v>0.91398727831503257</v>
      </c>
      <c r="M96" s="190">
        <f t="shared" si="58"/>
        <v>0.93117912154002236</v>
      </c>
      <c r="T96" s="243">
        <f t="shared" si="65"/>
        <v>9.1999999999999993</v>
      </c>
      <c r="U96" s="243">
        <v>35</v>
      </c>
      <c r="V96" s="243"/>
      <c r="W96" s="243"/>
      <c r="X96" s="243" t="s">
        <v>819</v>
      </c>
      <c r="Y96" s="243">
        <f t="shared" si="66"/>
        <v>4.32</v>
      </c>
      <c r="Z96" s="243">
        <v>0.1</v>
      </c>
      <c r="AA96" s="243">
        <v>3.4</v>
      </c>
      <c r="AP96" s="297">
        <f t="shared" ref="AP96:AT96" si="67">AP98/AP94</f>
        <v>0.50118723362727224</v>
      </c>
      <c r="AQ96" s="297">
        <f t="shared" si="67"/>
        <v>0.7360219228178333</v>
      </c>
      <c r="AR96" s="297">
        <f t="shared" si="67"/>
        <v>0.7596577929323739</v>
      </c>
      <c r="AS96" s="297">
        <f t="shared" si="67"/>
        <v>0.85791720044409492</v>
      </c>
      <c r="AT96" s="297">
        <f t="shared" si="67"/>
        <v>0.9352484478226214</v>
      </c>
      <c r="AU96" s="190">
        <f>AU98/AU94</f>
        <v>1</v>
      </c>
      <c r="AW96" s="297"/>
      <c r="AX96" s="297"/>
      <c r="AY96" s="297"/>
    </row>
    <row r="97" spans="1:51">
      <c r="A97" s="190">
        <v>7</v>
      </c>
      <c r="B97" s="190">
        <f t="shared" si="58"/>
        <v>7.4864370172297134E-2</v>
      </c>
      <c r="C97" s="190">
        <f t="shared" si="58"/>
        <v>0.18169016023862214</v>
      </c>
      <c r="D97" s="190">
        <f t="shared" si="58"/>
        <v>0.26951922438501391</v>
      </c>
      <c r="E97" s="190">
        <f t="shared" si="58"/>
        <v>0.34319980109100223</v>
      </c>
      <c r="F97" s="190">
        <f t="shared" si="58"/>
        <v>0.40688095682666825</v>
      </c>
      <c r="G97" s="190">
        <f t="shared" si="58"/>
        <v>0.53518215683378678</v>
      </c>
      <c r="H97" s="190">
        <f t="shared" si="58"/>
        <v>0.63066609042208444</v>
      </c>
      <c r="I97" s="190">
        <f t="shared" si="58"/>
        <v>0.75543534213653563</v>
      </c>
      <c r="J97" s="190">
        <f t="shared" si="58"/>
        <v>0.82743312494500265</v>
      </c>
      <c r="K97" s="190">
        <f t="shared" si="58"/>
        <v>0.87159173181274019</v>
      </c>
      <c r="L97" s="190">
        <f t="shared" si="58"/>
        <v>0.90038899049769827</v>
      </c>
      <c r="M97" s="190">
        <f t="shared" si="58"/>
        <v>0.9201785418892463</v>
      </c>
      <c r="S97" s="243">
        <f>35-S90</f>
        <v>11.5</v>
      </c>
      <c r="T97" s="243">
        <v>35</v>
      </c>
      <c r="U97" s="243"/>
      <c r="V97" s="243"/>
      <c r="W97" s="243"/>
      <c r="X97" s="243">
        <f t="shared" ref="X97" si="68">S97*Y97+Z97</f>
        <v>4.55</v>
      </c>
      <c r="Y97" s="243">
        <v>0.1</v>
      </c>
      <c r="Z97" s="243">
        <v>3.4</v>
      </c>
      <c r="AL97" s="270" t="s">
        <v>358</v>
      </c>
      <c r="AM97" s="297">
        <v>0.26500000000000001</v>
      </c>
      <c r="AN97" s="297">
        <v>0.26500000000000001</v>
      </c>
      <c r="AO97" s="297">
        <v>0.26500000000000001</v>
      </c>
      <c r="AP97" s="297">
        <v>0.26500000000000001</v>
      </c>
      <c r="AQ97" s="297">
        <v>0.26500000000000001</v>
      </c>
      <c r="AR97" s="297">
        <v>0.30399999999999999</v>
      </c>
      <c r="AS97" s="297">
        <v>0.51500000000000001</v>
      </c>
      <c r="AT97" s="297">
        <v>0.748</v>
      </c>
      <c r="AU97" s="297">
        <v>1</v>
      </c>
      <c r="AV97" s="297">
        <v>1.2669999999999999</v>
      </c>
      <c r="AW97" s="297"/>
      <c r="AX97" s="297" t="s">
        <v>355</v>
      </c>
      <c r="AY97" s="297"/>
    </row>
    <row r="98" spans="1:51">
      <c r="A98" s="190">
        <v>8</v>
      </c>
      <c r="B98" s="190">
        <f t="shared" si="58"/>
        <v>5.1696047908260719E-2</v>
      </c>
      <c r="C98" s="190">
        <f t="shared" si="58"/>
        <v>0.14240381003534733</v>
      </c>
      <c r="D98" s="190">
        <f t="shared" si="58"/>
        <v>0.2234834805531985</v>
      </c>
      <c r="E98" s="190">
        <f t="shared" si="58"/>
        <v>0.29457548597162597</v>
      </c>
      <c r="F98" s="190">
        <f t="shared" si="58"/>
        <v>0.35783019702899255</v>
      </c>
      <c r="G98" s="190">
        <f t="shared" si="58"/>
        <v>0.4894588025673397</v>
      </c>
      <c r="H98" s="190">
        <f t="shared" si="58"/>
        <v>0.59047213322867587</v>
      </c>
      <c r="I98" s="190">
        <f t="shared" si="58"/>
        <v>0.72576649151584638</v>
      </c>
      <c r="J98" s="190">
        <f t="shared" si="58"/>
        <v>0.80534220746341134</v>
      </c>
      <c r="K98" s="190">
        <f t="shared" si="58"/>
        <v>0.85464627088508538</v>
      </c>
      <c r="L98" s="190">
        <f t="shared" si="58"/>
        <v>0.88699301778468798</v>
      </c>
      <c r="M98" s="190">
        <f t="shared" si="58"/>
        <v>0.90930791870963001</v>
      </c>
      <c r="S98" s="243">
        <f t="shared" ref="S98:S99" si="69">35-S91</f>
        <v>11</v>
      </c>
      <c r="T98" s="243">
        <v>35</v>
      </c>
      <c r="U98" s="243"/>
      <c r="V98" s="243"/>
      <c r="W98" s="243"/>
      <c r="X98" s="243">
        <f t="shared" ref="X98:X99" si="70">S98*Y98+Z98</f>
        <v>4.5</v>
      </c>
      <c r="Y98" s="243">
        <v>0.1</v>
      </c>
      <c r="Z98" s="243">
        <v>3.4</v>
      </c>
      <c r="AL98" s="162">
        <v>1.3</v>
      </c>
      <c r="AM98" s="297" t="e">
        <f t="shared" ref="AM98:AV98" si="71">(AM$93/50)^$AL98</f>
        <v>#NUM!</v>
      </c>
      <c r="AN98" s="297">
        <f t="shared" si="71"/>
        <v>3.9024647992937817E-8</v>
      </c>
      <c r="AO98" s="297">
        <f t="shared" si="71"/>
        <v>6.1849898942198346E-3</v>
      </c>
      <c r="AP98" s="297">
        <f t="shared" si="71"/>
        <v>5.0118723362727227E-2</v>
      </c>
      <c r="AQ98" s="297">
        <f t="shared" si="71"/>
        <v>0.26496789221441996</v>
      </c>
      <c r="AR98" s="297">
        <f t="shared" si="71"/>
        <v>0.30386311717294956</v>
      </c>
      <c r="AS98" s="297">
        <f t="shared" si="71"/>
        <v>0.51475032026645695</v>
      </c>
      <c r="AT98" s="297">
        <f t="shared" si="71"/>
        <v>0.74819875825809712</v>
      </c>
      <c r="AU98" s="297">
        <f t="shared" si="71"/>
        <v>1</v>
      </c>
      <c r="AV98" s="297">
        <f t="shared" si="71"/>
        <v>1.2674639621271098</v>
      </c>
      <c r="AW98" s="297"/>
      <c r="AX98" s="297"/>
      <c r="AY98" s="297"/>
    </row>
    <row r="99" spans="1:51">
      <c r="A99" s="190">
        <v>9</v>
      </c>
      <c r="B99" s="190">
        <f t="shared" si="58"/>
        <v>3.5697640455434089E-2</v>
      </c>
      <c r="C99" s="190">
        <f t="shared" si="58"/>
        <v>0.11161223638060606</v>
      </c>
      <c r="D99" s="190">
        <f t="shared" si="58"/>
        <v>0.18531095952110854</v>
      </c>
      <c r="E99" s="190">
        <f t="shared" si="58"/>
        <v>0.25284023084969842</v>
      </c>
      <c r="F99" s="190">
        <f t="shared" si="58"/>
        <v>0.31469265827634657</v>
      </c>
      <c r="G99" s="190">
        <f t="shared" si="58"/>
        <v>0.44764182877094322</v>
      </c>
      <c r="H99" s="190">
        <f t="shared" si="58"/>
        <v>0.55283983936139325</v>
      </c>
      <c r="I99" s="190">
        <f t="shared" si="58"/>
        <v>0.69726285073914362</v>
      </c>
      <c r="J99" s="190">
        <f t="shared" si="58"/>
        <v>0.78384107617778709</v>
      </c>
      <c r="K99" s="190">
        <f t="shared" si="58"/>
        <v>0.83803026311258322</v>
      </c>
      <c r="L99" s="190">
        <f t="shared" si="58"/>
        <v>0.87379635013517964</v>
      </c>
      <c r="M99" s="190">
        <f t="shared" si="58"/>
        <v>0.89856571674712948</v>
      </c>
      <c r="S99" s="243">
        <f t="shared" si="69"/>
        <v>9.8000000000000007</v>
      </c>
      <c r="T99" s="243">
        <v>35</v>
      </c>
      <c r="U99" s="243"/>
      <c r="V99" s="243"/>
      <c r="W99" s="243"/>
      <c r="X99" s="243">
        <f t="shared" si="70"/>
        <v>4.38</v>
      </c>
      <c r="Y99" s="243">
        <v>0.1</v>
      </c>
      <c r="Z99" s="243">
        <v>3.4</v>
      </c>
      <c r="AL99" s="297" t="s">
        <v>356</v>
      </c>
      <c r="AM99" s="297">
        <f t="shared" ref="AM99:AV99" si="72">((20+AM93+275)^4-(20+275)^4)/((20+50+275)^4-(20+275)^4)</f>
        <v>-1.5495105708565882E-2</v>
      </c>
      <c r="AN99" s="297">
        <f t="shared" si="72"/>
        <v>1.5574125242996957E-6</v>
      </c>
      <c r="AO99" s="297">
        <f t="shared" si="72"/>
        <v>1.5653486866051929E-2</v>
      </c>
      <c r="AP99" s="297">
        <f t="shared" si="72"/>
        <v>7.9872812272506671E-2</v>
      </c>
      <c r="AQ99" s="297">
        <f t="shared" si="72"/>
        <v>0.30705143411793256</v>
      </c>
      <c r="AR99" s="297">
        <f t="shared" si="72"/>
        <v>0.34461447464207717</v>
      </c>
      <c r="AS99" s="297">
        <f t="shared" si="72"/>
        <v>0.5434497088085416</v>
      </c>
      <c r="AT99" s="297">
        <f t="shared" si="72"/>
        <v>0.7615111623392381</v>
      </c>
      <c r="AU99" s="297">
        <f t="shared" si="72"/>
        <v>1</v>
      </c>
      <c r="AV99" s="297">
        <f t="shared" si="72"/>
        <v>1.2601537854889591</v>
      </c>
      <c r="AW99" s="297"/>
      <c r="AX99" s="297"/>
      <c r="AY99" s="297"/>
    </row>
    <row r="100" spans="1:51">
      <c r="A100" s="190">
        <v>10</v>
      </c>
      <c r="B100" s="190">
        <f t="shared" si="58"/>
        <v>2.4650269907418101E-2</v>
      </c>
      <c r="C100" s="190">
        <f t="shared" si="58"/>
        <v>8.7478637732994316E-2</v>
      </c>
      <c r="D100" s="190">
        <f t="shared" si="58"/>
        <v>0.15365856856010215</v>
      </c>
      <c r="E100" s="190">
        <f t="shared" si="58"/>
        <v>0.21701799837575922</v>
      </c>
      <c r="F100" s="190">
        <f t="shared" si="58"/>
        <v>0.27675548345353757</v>
      </c>
      <c r="G100" s="190">
        <f t="shared" si="58"/>
        <v>0.4093974933423038</v>
      </c>
      <c r="H100" s="190">
        <f t="shared" si="58"/>
        <v>0.51760594748807087</v>
      </c>
      <c r="I100" s="190">
        <f t="shared" si="58"/>
        <v>0.66987865753548936</v>
      </c>
      <c r="J100" s="190">
        <f t="shared" si="58"/>
        <v>0.76291398489935158</v>
      </c>
      <c r="K100" s="190">
        <f t="shared" si="58"/>
        <v>0.82173730327663841</v>
      </c>
      <c r="L100" s="190">
        <f t="shared" si="58"/>
        <v>0.86079602229168994</v>
      </c>
      <c r="M100" s="190">
        <f t="shared" si="58"/>
        <v>0.88795041888458104</v>
      </c>
      <c r="AL100" s="154">
        <v>1.3</v>
      </c>
      <c r="AM100" s="297">
        <f t="shared" ref="AM100:AV100" si="73">AM$93/50*(1+AM$93/50*($AL100-1))/($AL100)</f>
        <v>-1.5292307692307694E-2</v>
      </c>
      <c r="AN100" s="297">
        <f t="shared" si="73"/>
        <v>1.5384624615384612E-6</v>
      </c>
      <c r="AO100" s="297">
        <f t="shared" si="73"/>
        <v>1.5476923076923076E-2</v>
      </c>
      <c r="AP100" s="297">
        <f t="shared" si="73"/>
        <v>7.923076923076923E-2</v>
      </c>
      <c r="AQ100" s="297">
        <f t="shared" si="73"/>
        <v>0.30683076923076924</v>
      </c>
      <c r="AR100" s="297">
        <f t="shared" si="73"/>
        <v>0.34461538461538466</v>
      </c>
      <c r="AS100" s="297">
        <f t="shared" si="73"/>
        <v>0.54461538461538461</v>
      </c>
      <c r="AT100" s="297">
        <f t="shared" si="73"/>
        <v>0.7630769230769231</v>
      </c>
      <c r="AU100" s="297">
        <f t="shared" si="73"/>
        <v>1</v>
      </c>
      <c r="AV100" s="297">
        <f t="shared" si="73"/>
        <v>1.2553846153846153</v>
      </c>
      <c r="AW100" s="297"/>
      <c r="AX100" s="297"/>
      <c r="AY100" s="297"/>
    </row>
    <row r="101" spans="1:51">
      <c r="AL101" s="297" t="s">
        <v>354</v>
      </c>
      <c r="AM101" s="297" t="e">
        <f t="shared" ref="AM101:AV101" si="74">AM98/AM97</f>
        <v>#NUM!</v>
      </c>
      <c r="AN101" s="297">
        <f t="shared" si="74"/>
        <v>1.4726282261485968E-7</v>
      </c>
      <c r="AO101" s="297">
        <f t="shared" si="74"/>
        <v>2.333958450648994E-2</v>
      </c>
      <c r="AP101" s="297">
        <f t="shared" si="74"/>
        <v>0.18912725797255556</v>
      </c>
      <c r="AQ101" s="297">
        <f t="shared" si="74"/>
        <v>0.99987883854498094</v>
      </c>
      <c r="AR101" s="297">
        <f t="shared" si="74"/>
        <v>0.9995497275425973</v>
      </c>
      <c r="AS101" s="297">
        <f t="shared" si="74"/>
        <v>0.99951518498341152</v>
      </c>
      <c r="AT101" s="297">
        <f t="shared" si="74"/>
        <v>1.0002657195963864</v>
      </c>
      <c r="AU101" s="297">
        <f t="shared" si="74"/>
        <v>1</v>
      </c>
      <c r="AV101" s="297">
        <f t="shared" si="74"/>
        <v>1.0003661895241593</v>
      </c>
    </row>
    <row r="102" spans="1:51">
      <c r="E102" s="243" t="s">
        <v>687</v>
      </c>
      <c r="O102" s="316" t="s">
        <v>1181</v>
      </c>
      <c r="AL102" s="297" t="s">
        <v>353</v>
      </c>
      <c r="AM102" s="297">
        <f t="shared" ref="AM102:AV102" si="75">AM100/AM97</f>
        <v>-5.7706821480406387E-2</v>
      </c>
      <c r="AN102" s="297">
        <f t="shared" si="75"/>
        <v>5.8055187227866459E-6</v>
      </c>
      <c r="AO102" s="297">
        <f t="shared" si="75"/>
        <v>5.8403483309143682E-2</v>
      </c>
      <c r="AP102" s="297">
        <f t="shared" si="75"/>
        <v>0.29898403483309144</v>
      </c>
      <c r="AQ102" s="297">
        <f t="shared" si="75"/>
        <v>1.1578519593613934</v>
      </c>
      <c r="AR102" s="297">
        <f t="shared" si="75"/>
        <v>1.133603238866397</v>
      </c>
      <c r="AS102" s="297">
        <f t="shared" si="75"/>
        <v>1.0575056011949215</v>
      </c>
      <c r="AT102" s="297">
        <f t="shared" si="75"/>
        <v>1.0201563142739614</v>
      </c>
      <c r="AU102" s="297">
        <f t="shared" si="75"/>
        <v>1</v>
      </c>
      <c r="AV102" s="297">
        <f t="shared" si="75"/>
        <v>0.99083237204784169</v>
      </c>
    </row>
    <row r="103" spans="1:51">
      <c r="B103" s="243">
        <f t="shared" ref="B103:L103" si="76">B107*B105</f>
        <v>0.13251783128981587</v>
      </c>
      <c r="C103" s="243">
        <f t="shared" si="76"/>
        <v>0.26031654938238741</v>
      </c>
      <c r="D103" s="243">
        <f t="shared" si="76"/>
        <v>0.37947331922020555</v>
      </c>
      <c r="E103" s="243">
        <f t="shared" si="76"/>
        <v>0.48736615926413712</v>
      </c>
      <c r="F103" s="243">
        <f t="shared" si="76"/>
        <v>0.58277151741435851</v>
      </c>
      <c r="G103" s="243">
        <f t="shared" si="76"/>
        <v>0.76822127959737574</v>
      </c>
      <c r="H103" s="243">
        <f t="shared" si="76"/>
        <v>0.89195297549659947</v>
      </c>
      <c r="I103" s="244">
        <f t="shared" si="76"/>
        <v>1.0289915108550529</v>
      </c>
      <c r="J103" s="243">
        <f t="shared" si="76"/>
        <v>1.0943058062101276</v>
      </c>
      <c r="K103" s="243">
        <f t="shared" si="76"/>
        <v>1.1290648942424721</v>
      </c>
      <c r="L103" s="243">
        <f t="shared" si="76"/>
        <v>1.1493915422653818</v>
      </c>
      <c r="M103" s="243">
        <f>M107*M105</f>
        <v>1.1621915191162193</v>
      </c>
      <c r="O103" s="86" t="s">
        <v>1182</v>
      </c>
      <c r="AL103" s="297" t="s">
        <v>352</v>
      </c>
      <c r="AM103" s="297">
        <f t="shared" ref="AM103:AV103" si="77">AM100/AM99</f>
        <v>0.98691212437833975</v>
      </c>
      <c r="AN103" s="297">
        <f t="shared" si="77"/>
        <v>0.98783234212800775</v>
      </c>
      <c r="AO103" s="297">
        <f t="shared" si="77"/>
        <v>0.98872048185559402</v>
      </c>
      <c r="AP103" s="297">
        <f t="shared" si="77"/>
        <v>0.99196168228624593</v>
      </c>
      <c r="AQ103" s="297">
        <f t="shared" si="77"/>
        <v>0.99928134226828402</v>
      </c>
      <c r="AR103" s="297">
        <f t="shared" si="77"/>
        <v>1.0000026405545166</v>
      </c>
      <c r="AS103" s="297">
        <f t="shared" si="77"/>
        <v>1.002144956171563</v>
      </c>
      <c r="AT103" s="297">
        <f t="shared" si="77"/>
        <v>1.0020561231602636</v>
      </c>
      <c r="AU103" s="297">
        <f t="shared" si="77"/>
        <v>1</v>
      </c>
      <c r="AV103" s="297">
        <f t="shared" si="77"/>
        <v>0.99621540627877159</v>
      </c>
    </row>
    <row r="104" spans="1:51" ht="15.75" thickBot="1">
      <c r="A104" s="250">
        <v>30</v>
      </c>
      <c r="B104" s="213" t="s">
        <v>688</v>
      </c>
      <c r="C104" s="213"/>
      <c r="D104" s="213">
        <f>B78</f>
        <v>9</v>
      </c>
      <c r="E104" s="213" t="s">
        <v>1</v>
      </c>
      <c r="F104" s="213">
        <f>B75</f>
        <v>19</v>
      </c>
      <c r="G104" s="213" t="s">
        <v>124</v>
      </c>
      <c r="H104" s="166"/>
      <c r="I104" s="166"/>
      <c r="J104" s="166"/>
      <c r="K104" s="166"/>
      <c r="L104" s="166"/>
      <c r="M104" s="167"/>
      <c r="O104" s="1" t="s">
        <v>172</v>
      </c>
      <c r="P104" s="8" t="s">
        <v>2</v>
      </c>
      <c r="Q104" s="9" t="s">
        <v>1</v>
      </c>
    </row>
    <row r="105" spans="1:51">
      <c r="A105" s="179" t="s">
        <v>692</v>
      </c>
      <c r="B105" s="180">
        <f t="shared" ref="B105:M105" si="78">$B$87/SQRT(B76*B76+$B$88*$B$88)</f>
        <v>6.625891564490793</v>
      </c>
      <c r="C105" s="180">
        <f t="shared" si="78"/>
        <v>6.5079137345596854</v>
      </c>
      <c r="D105" s="180">
        <f t="shared" si="78"/>
        <v>6.324555320336759</v>
      </c>
      <c r="E105" s="180">
        <f t="shared" si="78"/>
        <v>6.0920769908017141</v>
      </c>
      <c r="F105" s="180">
        <f t="shared" si="78"/>
        <v>5.8277151741435853</v>
      </c>
      <c r="G105" s="180">
        <f t="shared" si="78"/>
        <v>5.1214751973158386</v>
      </c>
      <c r="H105" s="180">
        <f t="shared" si="78"/>
        <v>4.4597648774829972</v>
      </c>
      <c r="I105" s="180">
        <f t="shared" si="78"/>
        <v>3.4299717028501764</v>
      </c>
      <c r="J105" s="180">
        <f t="shared" si="78"/>
        <v>2.735764515525319</v>
      </c>
      <c r="K105" s="180">
        <f t="shared" si="78"/>
        <v>2.2581297884849443</v>
      </c>
      <c r="L105" s="180">
        <f t="shared" si="78"/>
        <v>1.9156525704423029</v>
      </c>
      <c r="M105" s="202">
        <f t="shared" si="78"/>
        <v>1.6602735987374564</v>
      </c>
      <c r="O105" s="1">
        <f>P105/1000/SQRT(Q105/100)</f>
        <v>2.1908902300206647</v>
      </c>
      <c r="P105" s="3">
        <v>1200</v>
      </c>
      <c r="Q105" s="3">
        <v>30</v>
      </c>
      <c r="S105" s="297" t="s">
        <v>1183</v>
      </c>
    </row>
    <row r="106" spans="1:51">
      <c r="A106" s="179" t="s">
        <v>693</v>
      </c>
      <c r="B106" s="180">
        <f t="shared" ref="B106:M106" si="79">B83</f>
        <v>1.7452385615121906</v>
      </c>
      <c r="C106" s="180">
        <f t="shared" si="79"/>
        <v>2.4374922870626237</v>
      </c>
      <c r="D106" s="180">
        <f t="shared" si="79"/>
        <v>2.8578054926249825</v>
      </c>
      <c r="E106" s="180">
        <f t="shared" si="79"/>
        <v>3.1221787741755591</v>
      </c>
      <c r="F106" s="180">
        <f t="shared" si="79"/>
        <v>3.2810170408133872</v>
      </c>
      <c r="G106" s="180">
        <f t="shared" si="79"/>
        <v>3.3869242004344686</v>
      </c>
      <c r="H106" s="180">
        <f t="shared" si="79"/>
        <v>3.266864028728552</v>
      </c>
      <c r="I106" s="180">
        <f t="shared" si="79"/>
        <v>2.8261133182847757</v>
      </c>
      <c r="J106" s="180">
        <f t="shared" si="79"/>
        <v>2.3968498534168798</v>
      </c>
      <c r="K106" s="180">
        <f t="shared" si="79"/>
        <v>2.0502778166274402</v>
      </c>
      <c r="L106" s="180">
        <f t="shared" si="79"/>
        <v>1.7789895307386516</v>
      </c>
      <c r="M106" s="202">
        <f t="shared" si="79"/>
        <v>1.5654152149101119</v>
      </c>
      <c r="O106" s="1">
        <f t="shared" ref="O106:O107" si="80">P106/1000/SQRT(Q106/100)</f>
        <v>2.2360679774997898</v>
      </c>
      <c r="P106" s="3">
        <v>1000</v>
      </c>
      <c r="Q106" s="3">
        <v>20</v>
      </c>
      <c r="S106" s="297" t="s">
        <v>1184</v>
      </c>
    </row>
    <row r="107" spans="1:51">
      <c r="A107" s="247" t="s">
        <v>689</v>
      </c>
      <c r="B107" s="248">
        <f t="shared" ref="B107:M107" si="81">B76</f>
        <v>0.02</v>
      </c>
      <c r="C107" s="248">
        <f t="shared" si="81"/>
        <v>0.04</v>
      </c>
      <c r="D107" s="248">
        <f t="shared" si="81"/>
        <v>0.06</v>
      </c>
      <c r="E107" s="248">
        <f t="shared" si="81"/>
        <v>0.08</v>
      </c>
      <c r="F107" s="248">
        <f t="shared" si="81"/>
        <v>0.1</v>
      </c>
      <c r="G107" s="248">
        <f t="shared" si="81"/>
        <v>0.15</v>
      </c>
      <c r="H107" s="248">
        <f t="shared" si="81"/>
        <v>0.2</v>
      </c>
      <c r="I107" s="248">
        <f t="shared" si="81"/>
        <v>0.3</v>
      </c>
      <c r="J107" s="248">
        <f t="shared" si="81"/>
        <v>0.4</v>
      </c>
      <c r="K107" s="248">
        <f t="shared" si="81"/>
        <v>0.5</v>
      </c>
      <c r="L107" s="248">
        <f t="shared" si="81"/>
        <v>0.6</v>
      </c>
      <c r="M107" s="249">
        <f t="shared" si="81"/>
        <v>0.7</v>
      </c>
      <c r="O107" s="1">
        <f t="shared" si="80"/>
        <v>2.5298221281347035</v>
      </c>
      <c r="P107" s="3">
        <v>800</v>
      </c>
      <c r="Q107" s="3">
        <v>10</v>
      </c>
    </row>
    <row r="108" spans="1:51">
      <c r="A108" s="168"/>
      <c r="B108" s="235">
        <f t="shared" ref="B108:G108" si="82">B107</f>
        <v>0.02</v>
      </c>
      <c r="C108" s="235">
        <f t="shared" si="82"/>
        <v>0.04</v>
      </c>
      <c r="D108" s="235">
        <f t="shared" si="82"/>
        <v>0.06</v>
      </c>
      <c r="E108" s="235">
        <f t="shared" si="82"/>
        <v>0.08</v>
      </c>
      <c r="F108" s="235">
        <f t="shared" si="82"/>
        <v>0.1</v>
      </c>
      <c r="G108" s="235">
        <f t="shared" si="82"/>
        <v>0.15</v>
      </c>
      <c r="H108" s="235">
        <f>H107</f>
        <v>0.2</v>
      </c>
      <c r="I108" s="235">
        <f t="shared" ref="I108:M108" si="83">I107</f>
        <v>0.3</v>
      </c>
      <c r="J108" s="235">
        <f t="shared" si="83"/>
        <v>0.4</v>
      </c>
      <c r="K108" s="235">
        <f t="shared" si="83"/>
        <v>0.5</v>
      </c>
      <c r="L108" s="235">
        <f t="shared" si="83"/>
        <v>0.6</v>
      </c>
      <c r="M108" s="170">
        <f t="shared" si="83"/>
        <v>0.7</v>
      </c>
      <c r="O108" s="297"/>
      <c r="P108" s="297"/>
      <c r="Q108" s="297"/>
      <c r="R108" s="297"/>
    </row>
    <row r="109" spans="1:51">
      <c r="A109" s="243">
        <v>0</v>
      </c>
      <c r="B109" s="190">
        <f t="shared" ref="B109:M109" si="84">20+B$105/10*($A$104-20)*B90</f>
        <v>26.625891564490793</v>
      </c>
      <c r="C109" s="243">
        <f t="shared" si="84"/>
        <v>26.507913734559686</v>
      </c>
      <c r="D109" s="243">
        <f t="shared" si="84"/>
        <v>26.32455532033676</v>
      </c>
      <c r="E109" s="243">
        <f t="shared" si="84"/>
        <v>26.092076990801715</v>
      </c>
      <c r="F109" s="243">
        <f t="shared" si="84"/>
        <v>25.827715174143584</v>
      </c>
      <c r="G109" s="243">
        <f t="shared" si="84"/>
        <v>25.121475197315839</v>
      </c>
      <c r="H109" s="243">
        <f t="shared" si="84"/>
        <v>24.459764877482996</v>
      </c>
      <c r="I109" s="243">
        <f t="shared" si="84"/>
        <v>23.429971702850175</v>
      </c>
      <c r="J109" s="243">
        <f t="shared" si="84"/>
        <v>22.735764515525318</v>
      </c>
      <c r="K109" s="243">
        <f t="shared" si="84"/>
        <v>22.258129788484943</v>
      </c>
      <c r="L109" s="243">
        <f t="shared" si="84"/>
        <v>21.915652570442305</v>
      </c>
      <c r="M109" s="243">
        <f t="shared" si="84"/>
        <v>21.660273598737458</v>
      </c>
      <c r="O109" s="297" t="s">
        <v>1185</v>
      </c>
      <c r="R109" s="86" t="s">
        <v>1186</v>
      </c>
    </row>
    <row r="110" spans="1:51">
      <c r="A110" s="243">
        <v>1</v>
      </c>
      <c r="B110" s="243">
        <f t="shared" ref="B110:M110" si="85">20+B$105/10*($A$104-20)*B91</f>
        <v>24.575372863814025</v>
      </c>
      <c r="C110" s="243">
        <f t="shared" si="85"/>
        <v>25.100725927950744</v>
      </c>
      <c r="D110" s="243">
        <f t="shared" si="85"/>
        <v>25.244277617543855</v>
      </c>
      <c r="E110" s="243">
        <f t="shared" si="85"/>
        <v>25.228955653345874</v>
      </c>
      <c r="F110" s="243">
        <f t="shared" si="85"/>
        <v>25.125166056569718</v>
      </c>
      <c r="G110" s="243">
        <f t="shared" si="85"/>
        <v>24.683921325566672</v>
      </c>
      <c r="H110" s="243">
        <f t="shared" si="85"/>
        <v>24.175532696142394</v>
      </c>
      <c r="I110" s="243">
        <f t="shared" si="85"/>
        <v>23.29526352544714</v>
      </c>
      <c r="J110" s="243">
        <f t="shared" si="85"/>
        <v>22.66272471769809</v>
      </c>
      <c r="K110" s="243">
        <f t="shared" si="85"/>
        <v>22.214227295260553</v>
      </c>
      <c r="L110" s="243">
        <f t="shared" si="85"/>
        <v>21.887151522748386</v>
      </c>
      <c r="M110" s="243">
        <f t="shared" si="85"/>
        <v>21.64065978702013</v>
      </c>
      <c r="R110" s="297" t="s">
        <v>244</v>
      </c>
    </row>
    <row r="111" spans="1:51">
      <c r="A111" s="243">
        <v>2</v>
      </c>
      <c r="B111" s="243">
        <f t="shared" ref="B111:M111" si="86">20+B$105/10*($A$104-20)*B92</f>
        <v>23.159429435144183</v>
      </c>
      <c r="C111" s="243">
        <f t="shared" si="86"/>
        <v>23.997810366462897</v>
      </c>
      <c r="D111" s="243">
        <f t="shared" si="86"/>
        <v>24.348518802806051</v>
      </c>
      <c r="E111" s="243">
        <f t="shared" si="86"/>
        <v>24.488120761760037</v>
      </c>
      <c r="F111" s="243">
        <f t="shared" si="86"/>
        <v>24.50731141150434</v>
      </c>
      <c r="G111" s="243">
        <f t="shared" si="86"/>
        <v>24.283749923380771</v>
      </c>
      <c r="H111" s="243">
        <f t="shared" si="86"/>
        <v>23.909415356083567</v>
      </c>
      <c r="I111" s="243">
        <f t="shared" si="86"/>
        <v>23.165845856139015</v>
      </c>
      <c r="J111" s="243">
        <f t="shared" si="86"/>
        <v>22.591634945918926</v>
      </c>
      <c r="K111" s="243">
        <f t="shared" si="86"/>
        <v>22.171178353023862</v>
      </c>
      <c r="L111" s="243">
        <f t="shared" si="86"/>
        <v>21.859074513177134</v>
      </c>
      <c r="M111" s="243">
        <f t="shared" si="86"/>
        <v>21.621277685070623</v>
      </c>
      <c r="O111" s="99" t="s">
        <v>1187</v>
      </c>
      <c r="P111" s="190">
        <v>78.5</v>
      </c>
      <c r="Q111" s="190">
        <f>P111/20</f>
        <v>3.9249999999999998</v>
      </c>
      <c r="R111" s="1">
        <f t="shared" ref="R111" si="87">S111/1000/SQRT(T111/100)</f>
        <v>3.2</v>
      </c>
      <c r="S111" s="3">
        <v>32</v>
      </c>
      <c r="T111" s="3">
        <v>0.01</v>
      </c>
      <c r="W111" s="297" t="s">
        <v>1197</v>
      </c>
      <c r="X111" s="317">
        <v>1</v>
      </c>
      <c r="Y111" s="317">
        <v>2.5</v>
      </c>
      <c r="Z111" s="317">
        <v>2.5</v>
      </c>
    </row>
    <row r="112" spans="1:51">
      <c r="A112" s="243">
        <v>3</v>
      </c>
      <c r="B112" s="243">
        <f t="shared" ref="B112:M112" si="88">20+B$105/10*($A$104-20)*B93</f>
        <v>22.181678882305238</v>
      </c>
      <c r="C112" s="243">
        <f t="shared" si="88"/>
        <v>23.133375121885699</v>
      </c>
      <c r="D112" s="243">
        <f t="shared" si="88"/>
        <v>23.605761776435866</v>
      </c>
      <c r="E112" s="243">
        <f t="shared" si="88"/>
        <v>23.852246855307015</v>
      </c>
      <c r="F112" s="243">
        <f t="shared" si="88"/>
        <v>23.963941057916607</v>
      </c>
      <c r="G112" s="243">
        <f t="shared" si="88"/>
        <v>23.917767214812187</v>
      </c>
      <c r="H112" s="243">
        <f t="shared" si="88"/>
        <v>23.660258352306002</v>
      </c>
      <c r="I112" s="243">
        <f t="shared" si="88"/>
        <v>23.041510916330306</v>
      </c>
      <c r="J112" s="243">
        <f t="shared" si="88"/>
        <v>22.522443138138073</v>
      </c>
      <c r="K112" s="243">
        <f t="shared" si="88"/>
        <v>22.128966367061562</v>
      </c>
      <c r="L112" s="243">
        <f t="shared" si="88"/>
        <v>21.831415232896276</v>
      </c>
      <c r="M112" s="243">
        <f t="shared" si="88"/>
        <v>21.602124555561932</v>
      </c>
      <c r="O112" s="99" t="s">
        <v>1188</v>
      </c>
      <c r="P112" s="190">
        <v>176.625</v>
      </c>
      <c r="Q112" s="297">
        <f t="shared" ref="Q112:Q131" si="89">P112/20</f>
        <v>8.8312500000000007</v>
      </c>
      <c r="R112" s="1">
        <f t="shared" ref="R112:R119" si="90">S112/1000/SQRT(T112/100)</f>
        <v>4.3999999999999995</v>
      </c>
      <c r="S112" s="3">
        <v>44</v>
      </c>
      <c r="T112" s="3">
        <v>0.01</v>
      </c>
      <c r="U112" s="297"/>
      <c r="W112" s="297" t="s">
        <v>1198</v>
      </c>
      <c r="X112" s="318">
        <v>1</v>
      </c>
      <c r="Y112" s="318">
        <v>2.5</v>
      </c>
      <c r="Z112" s="318">
        <v>2.5</v>
      </c>
    </row>
    <row r="113" spans="1:27">
      <c r="A113" s="243">
        <v>4</v>
      </c>
      <c r="B113" s="243">
        <f t="shared" ref="B113:M113" si="91">20+B$105/10*($A$104-20)*B94</f>
        <v>21.506513388952907</v>
      </c>
      <c r="C113" s="243">
        <f t="shared" si="91"/>
        <v>22.455854268830372</v>
      </c>
      <c r="D113" s="243">
        <f t="shared" si="91"/>
        <v>22.989872776913415</v>
      </c>
      <c r="E113" s="243">
        <f t="shared" si="91"/>
        <v>23.306463132779719</v>
      </c>
      <c r="F113" s="243">
        <f t="shared" si="91"/>
        <v>23.486075683728448</v>
      </c>
      <c r="G113" s="243">
        <f t="shared" si="91"/>
        <v>23.583052284560949</v>
      </c>
      <c r="H113" s="243">
        <f t="shared" si="91"/>
        <v>23.426980759355125</v>
      </c>
      <c r="I113" s="243">
        <f t="shared" si="91"/>
        <v>22.922059087689899</v>
      </c>
      <c r="J113" s="243">
        <f t="shared" si="91"/>
        <v>22.455098622265183</v>
      </c>
      <c r="K113" s="243">
        <f t="shared" si="91"/>
        <v>22.087575065294274</v>
      </c>
      <c r="L113" s="243">
        <f t="shared" si="91"/>
        <v>21.804167466936246</v>
      </c>
      <c r="M113" s="243">
        <f t="shared" si="91"/>
        <v>21.583197693504744</v>
      </c>
      <c r="O113" s="99" t="s">
        <v>1189</v>
      </c>
      <c r="P113" s="190">
        <v>314</v>
      </c>
      <c r="Q113" s="297">
        <f t="shared" si="89"/>
        <v>15.7</v>
      </c>
      <c r="R113" s="1">
        <f t="shared" si="90"/>
        <v>7.0000000000000009</v>
      </c>
      <c r="S113" s="3">
        <v>70</v>
      </c>
      <c r="T113" s="3">
        <v>0.01</v>
      </c>
      <c r="U113" s="297"/>
      <c r="W113" s="297" t="s">
        <v>1199</v>
      </c>
      <c r="X113" s="304">
        <f t="shared" ref="X113:Y113" si="92">X111*X112/SQRT(X111^2+X112^2)</f>
        <v>0.70710678118654746</v>
      </c>
      <c r="Y113" s="304">
        <f t="shared" si="92"/>
        <v>1.7677669529663687</v>
      </c>
      <c r="Z113" s="304">
        <f t="shared" ref="Z113" si="93">Z111*Z112/SQRT(Z111^2+Z112^2)</f>
        <v>1.7677669529663687</v>
      </c>
    </row>
    <row r="114" spans="1:27">
      <c r="A114" s="243">
        <v>5</v>
      </c>
      <c r="B114" s="243">
        <f t="shared" ref="B114:M114" si="94">20+B$105/10*($A$104-20)*B95</f>
        <v>21.040291772314472</v>
      </c>
      <c r="C114" s="243">
        <f t="shared" si="94"/>
        <v>21.924831836317992</v>
      </c>
      <c r="D114" s="243">
        <f t="shared" si="94"/>
        <v>22.479181869569896</v>
      </c>
      <c r="E114" s="243">
        <f t="shared" si="94"/>
        <v>22.838005678003249</v>
      </c>
      <c r="F114" s="243">
        <f t="shared" si="94"/>
        <v>23.065818460749281</v>
      </c>
      <c r="G114" s="243">
        <f t="shared" si="94"/>
        <v>23.276933766089744</v>
      </c>
      <c r="H114" s="243">
        <f t="shared" si="94"/>
        <v>23.208570541910316</v>
      </c>
      <c r="I114" s="243">
        <f t="shared" si="94"/>
        <v>22.807298591666097</v>
      </c>
      <c r="J114" s="243">
        <f t="shared" si="94"/>
        <v>22.389552079059975</v>
      </c>
      <c r="K114" s="243">
        <f t="shared" si="94"/>
        <v>22.046988492003912</v>
      </c>
      <c r="L114" s="243">
        <f t="shared" si="94"/>
        <v>21.777325092793689</v>
      </c>
      <c r="M114" s="243">
        <f t="shared" si="94"/>
        <v>21.564494425865405</v>
      </c>
      <c r="O114" s="99" t="s">
        <v>1190</v>
      </c>
      <c r="P114" s="190">
        <v>490.625</v>
      </c>
      <c r="Q114" s="297">
        <f t="shared" si="89"/>
        <v>24.53125</v>
      </c>
      <c r="R114" s="1">
        <f t="shared" si="90"/>
        <v>12</v>
      </c>
      <c r="S114" s="3">
        <v>120</v>
      </c>
      <c r="T114" s="3">
        <v>0.01</v>
      </c>
      <c r="U114" s="297"/>
      <c r="W114" s="297" t="s">
        <v>1200</v>
      </c>
      <c r="X114" s="318">
        <v>1</v>
      </c>
      <c r="Y114" s="318">
        <v>12</v>
      </c>
      <c r="Z114" s="318">
        <v>100</v>
      </c>
    </row>
    <row r="115" spans="1:27">
      <c r="A115" s="243">
        <v>6</v>
      </c>
      <c r="B115" s="243">
        <f t="shared" ref="B115:M115" si="95">20+B$105/10*($A$104-20)*B96</f>
        <v>20.718352043520415</v>
      </c>
      <c r="C115" s="243">
        <f t="shared" si="95"/>
        <v>21.508630884628111</v>
      </c>
      <c r="D115" s="243">
        <f t="shared" si="95"/>
        <v>22.05572049415067</v>
      </c>
      <c r="E115" s="243">
        <f t="shared" si="95"/>
        <v>22.435918957792076</v>
      </c>
      <c r="F115" s="243">
        <f t="shared" si="95"/>
        <v>22.696224547890008</v>
      </c>
      <c r="G115" s="243">
        <f t="shared" si="95"/>
        <v>22.996968521394304</v>
      </c>
      <c r="H115" s="243">
        <f t="shared" si="95"/>
        <v>23.00408016424111</v>
      </c>
      <c r="I115" s="243">
        <f t="shared" si="95"/>
        <v>22.697045181588337</v>
      </c>
      <c r="J115" s="243">
        <f t="shared" si="95"/>
        <v>22.325755506013678</v>
      </c>
      <c r="K115" s="243">
        <f t="shared" si="95"/>
        <v>22.007191001682994</v>
      </c>
      <c r="L115" s="243">
        <f t="shared" si="95"/>
        <v>21.750882079055756</v>
      </c>
      <c r="M115" s="243">
        <f t="shared" si="95"/>
        <v>21.546012111188436</v>
      </c>
      <c r="O115" s="99" t="s">
        <v>1191</v>
      </c>
      <c r="P115" s="190">
        <v>803.84</v>
      </c>
      <c r="Q115" s="297">
        <f t="shared" si="89"/>
        <v>40.192</v>
      </c>
      <c r="R115" s="1">
        <f t="shared" si="90"/>
        <v>17</v>
      </c>
      <c r="S115" s="3">
        <v>170</v>
      </c>
      <c r="T115" s="3">
        <v>0.01</v>
      </c>
      <c r="U115" s="297"/>
      <c r="W115" s="297" t="s">
        <v>1201</v>
      </c>
      <c r="X115" s="304">
        <f t="shared" ref="X115:Y115" si="96">X113*X114/SQRT(X113^2+X114^2)</f>
        <v>0.57735026918962573</v>
      </c>
      <c r="Y115" s="304">
        <f t="shared" si="96"/>
        <v>1.7488921119872667</v>
      </c>
      <c r="Z115" s="304">
        <f t="shared" ref="Z115" si="97">Z113*Z114/SQRT(Z113^2+Z114^2)</f>
        <v>1.7674908041006729</v>
      </c>
    </row>
    <row r="116" spans="1:27">
      <c r="A116" s="243">
        <v>7</v>
      </c>
      <c r="B116" s="243">
        <f t="shared" ref="B116:M116" si="98">20+B$105/10*($A$104-20)*B97</f>
        <v>20.496043198805541</v>
      </c>
      <c r="C116" s="243">
        <f t="shared" si="98"/>
        <v>21.182423889251279</v>
      </c>
      <c r="D116" s="243">
        <f t="shared" si="98"/>
        <v>21.704589244517276</v>
      </c>
      <c r="E116" s="243">
        <f t="shared" si="98"/>
        <v>22.090799611474218</v>
      </c>
      <c r="F116" s="243">
        <f t="shared" si="98"/>
        <v>22.371186326168836</v>
      </c>
      <c r="G116" s="243">
        <f t="shared" si="98"/>
        <v>22.740922142270236</v>
      </c>
      <c r="H116" s="243">
        <f t="shared" si="98"/>
        <v>22.812622479483927</v>
      </c>
      <c r="I116" s="243">
        <f t="shared" si="98"/>
        <v>22.59112184686126</v>
      </c>
      <c r="J116" s="243">
        <f t="shared" si="98"/>
        <v>22.263662182194764</v>
      </c>
      <c r="K116" s="243">
        <f t="shared" si="98"/>
        <v>21.968167253003529</v>
      </c>
      <c r="L116" s="243">
        <f t="shared" si="98"/>
        <v>21.724832484044867</v>
      </c>
      <c r="M116" s="243">
        <f t="shared" si="98"/>
        <v>21.527748139223444</v>
      </c>
      <c r="O116" s="99" t="s">
        <v>1192</v>
      </c>
      <c r="P116" s="190">
        <v>1256</v>
      </c>
      <c r="Q116" s="297">
        <f t="shared" si="89"/>
        <v>62.8</v>
      </c>
      <c r="R116" s="1">
        <f t="shared" si="90"/>
        <v>22</v>
      </c>
      <c r="S116" s="3">
        <v>220</v>
      </c>
      <c r="T116" s="3">
        <v>0.01</v>
      </c>
      <c r="U116" s="297"/>
      <c r="W116" s="297" t="s">
        <v>1202</v>
      </c>
      <c r="X116" s="318">
        <v>1</v>
      </c>
      <c r="Y116" s="318">
        <v>12</v>
      </c>
      <c r="Z116" s="318">
        <v>100</v>
      </c>
    </row>
    <row r="117" spans="1:27">
      <c r="A117" s="243">
        <v>8</v>
      </c>
      <c r="B117" s="243">
        <f t="shared" ref="B117:M117" si="99">20+B$105/10*($A$104-20)*B98</f>
        <v>20.342532407752856</v>
      </c>
      <c r="C117" s="243">
        <f t="shared" si="99"/>
        <v>20.926751711182664</v>
      </c>
      <c r="D117" s="243">
        <f t="shared" si="99"/>
        <v>21.413433635940109</v>
      </c>
      <c r="E117" s="243">
        <f t="shared" si="99"/>
        <v>21.794576540141975</v>
      </c>
      <c r="F117" s="243">
        <f t="shared" si="99"/>
        <v>22.08533246899265</v>
      </c>
      <c r="G117" s="243">
        <f t="shared" si="99"/>
        <v>22.506751117456538</v>
      </c>
      <c r="H117" s="243">
        <f t="shared" si="99"/>
        <v>22.633366880905712</v>
      </c>
      <c r="I117" s="243">
        <f t="shared" si="99"/>
        <v>22.489358528776204</v>
      </c>
      <c r="J117" s="243">
        <f t="shared" si="99"/>
        <v>22.203226634033228</v>
      </c>
      <c r="K117" s="243">
        <f t="shared" si="99"/>
        <v>21.929902202903186</v>
      </c>
      <c r="L117" s="243">
        <f t="shared" si="99"/>
        <v>21.699170454483614</v>
      </c>
      <c r="M117" s="243">
        <f t="shared" si="99"/>
        <v>21.509699930556504</v>
      </c>
      <c r="O117" s="99" t="s">
        <v>1196</v>
      </c>
      <c r="P117" s="190">
        <v>1962.5</v>
      </c>
      <c r="Q117" s="297">
        <f t="shared" si="89"/>
        <v>98.125</v>
      </c>
      <c r="R117" s="1">
        <f t="shared" si="90"/>
        <v>33</v>
      </c>
      <c r="S117" s="3">
        <v>330</v>
      </c>
      <c r="T117" s="3">
        <v>0.01</v>
      </c>
      <c r="U117" s="297"/>
      <c r="W117" s="297" t="s">
        <v>1203</v>
      </c>
      <c r="X117" s="304">
        <f t="shared" ref="X117:Y117" si="100">X115*X116/SQRT(X115^2+X116^2)</f>
        <v>0.5</v>
      </c>
      <c r="Y117" s="304">
        <f t="shared" si="100"/>
        <v>1.7306092336132826</v>
      </c>
      <c r="Z117" s="304">
        <f t="shared" ref="Z117" si="101">Z115*Z116/SQRT(Z115^2+Z116^2)</f>
        <v>1.7672147846090078</v>
      </c>
      <c r="AA117" s="190">
        <f>Z117/Y117</f>
        <v>1.0211518292429873</v>
      </c>
    </row>
    <row r="118" spans="1:27">
      <c r="A118" s="243">
        <v>9</v>
      </c>
      <c r="B118" s="243">
        <f t="shared" ref="B118:M118" si="102">20+B$105/10*($A$104-20)*B99</f>
        <v>20.236528694765887</v>
      </c>
      <c r="C118" s="243">
        <f t="shared" si="102"/>
        <v>20.726362806086268</v>
      </c>
      <c r="D118" s="243">
        <f t="shared" si="102"/>
        <v>21.172009414955937</v>
      </c>
      <c r="E118" s="243">
        <f t="shared" si="102"/>
        <v>21.540322152708441</v>
      </c>
      <c r="F118" s="243">
        <f t="shared" si="102"/>
        <v>21.833939179828647</v>
      </c>
      <c r="G118" s="243">
        <f t="shared" si="102"/>
        <v>22.29258652333149</v>
      </c>
      <c r="H118" s="243">
        <f t="shared" si="102"/>
        <v>22.465535698457284</v>
      </c>
      <c r="I118" s="243">
        <f t="shared" si="102"/>
        <v>22.391591847483909</v>
      </c>
      <c r="J118" s="243">
        <f t="shared" si="102"/>
        <v>22.144404602018369</v>
      </c>
      <c r="K118" s="243">
        <f t="shared" si="102"/>
        <v>21.892381100786398</v>
      </c>
      <c r="L118" s="243">
        <f t="shared" si="102"/>
        <v>21.673890224179559</v>
      </c>
      <c r="M118" s="243">
        <f t="shared" si="102"/>
        <v>21.491864936245857</v>
      </c>
      <c r="O118" s="99" t="s">
        <v>1193</v>
      </c>
      <c r="P118" s="190">
        <v>3316.625</v>
      </c>
      <c r="Q118" s="297">
        <f t="shared" si="89"/>
        <v>165.83125000000001</v>
      </c>
      <c r="R118" s="1">
        <f t="shared" si="90"/>
        <v>56.999999999999993</v>
      </c>
      <c r="S118" s="3">
        <v>570</v>
      </c>
      <c r="T118" s="3">
        <v>0.01</v>
      </c>
      <c r="U118" s="297"/>
      <c r="W118" s="297" t="s">
        <v>1204</v>
      </c>
      <c r="X118" s="318">
        <v>1</v>
      </c>
      <c r="Y118" s="318">
        <v>1</v>
      </c>
      <c r="Z118" s="318">
        <v>1</v>
      </c>
    </row>
    <row r="119" spans="1:27">
      <c r="A119" s="243">
        <v>10</v>
      </c>
      <c r="B119" s="243">
        <f t="shared" ref="B119:M119" si="103">20+B$105/10*($A$104-20)*B100</f>
        <v>20.163330015441982</v>
      </c>
      <c r="C119" s="243">
        <f t="shared" si="103"/>
        <v>20.569303427983126</v>
      </c>
      <c r="D119" s="243">
        <f t="shared" si="103"/>
        <v>20.971822117302125</v>
      </c>
      <c r="E119" s="243">
        <f t="shared" si="103"/>
        <v>21.322090354494808</v>
      </c>
      <c r="F119" s="243">
        <f t="shared" si="103"/>
        <v>21.612852130449625</v>
      </c>
      <c r="G119" s="243">
        <f t="shared" si="103"/>
        <v>22.096719107995884</v>
      </c>
      <c r="H119" s="243">
        <f t="shared" si="103"/>
        <v>22.308400824983607</v>
      </c>
      <c r="I119" s="243">
        <f t="shared" si="103"/>
        <v>22.297664839689993</v>
      </c>
      <c r="J119" s="243">
        <f t="shared" si="103"/>
        <v>22.087153008285664</v>
      </c>
      <c r="K119" s="243">
        <f t="shared" si="103"/>
        <v>21.855589482838266</v>
      </c>
      <c r="L119" s="243">
        <f t="shared" si="103"/>
        <v>21.648986112729585</v>
      </c>
      <c r="M119" s="243">
        <f t="shared" si="103"/>
        <v>21.474240637461936</v>
      </c>
      <c r="O119" s="99" t="s">
        <v>1194</v>
      </c>
      <c r="P119" s="190">
        <v>5024</v>
      </c>
      <c r="Q119" s="297">
        <f t="shared" si="89"/>
        <v>251.2</v>
      </c>
      <c r="R119" s="1">
        <f t="shared" si="90"/>
        <v>77</v>
      </c>
      <c r="S119" s="3">
        <v>770</v>
      </c>
      <c r="T119" s="3">
        <v>0.01</v>
      </c>
      <c r="U119" s="297"/>
      <c r="W119" s="297"/>
      <c r="X119" s="304">
        <f t="shared" ref="X119" si="104">X117*X118/SQRT(X117^2+X118^2)</f>
        <v>0.44721359549995793</v>
      </c>
      <c r="Y119" s="304">
        <f t="shared" ref="Y119" si="105">Y117*Y118/SQRT(Y117^2+Y118^2)</f>
        <v>0.86584503818760916</v>
      </c>
      <c r="Z119" s="304">
        <f t="shared" ref="Z119" si="106">Z117*Z118/SQRT(Z117^2+Z118^2)</f>
        <v>0.87032234876451142</v>
      </c>
    </row>
    <row r="120" spans="1:27">
      <c r="B120" s="243" t="s">
        <v>691</v>
      </c>
      <c r="C120" s="243"/>
      <c r="D120" s="243"/>
      <c r="E120" s="243"/>
      <c r="F120" s="243"/>
      <c r="G120" s="243"/>
      <c r="H120" s="243"/>
      <c r="I120" s="243"/>
      <c r="J120" s="243"/>
      <c r="K120" s="243"/>
      <c r="L120" s="243"/>
      <c r="M120" s="243"/>
      <c r="O120" s="99" t="s">
        <v>1195</v>
      </c>
      <c r="P120" s="190">
        <v>7850</v>
      </c>
      <c r="Q120" s="297">
        <f t="shared" si="89"/>
        <v>392.5</v>
      </c>
      <c r="R120" s="1">
        <f t="shared" ref="R120" si="107">S120/1000/SQRT(T120/100)</f>
        <v>96</v>
      </c>
      <c r="S120" s="3">
        <v>960</v>
      </c>
      <c r="T120" s="3">
        <v>0.01</v>
      </c>
      <c r="U120" s="297"/>
      <c r="W120" s="297" t="s">
        <v>1205</v>
      </c>
      <c r="X120" s="318">
        <v>1</v>
      </c>
      <c r="Y120" s="318">
        <v>1</v>
      </c>
      <c r="Z120" s="318">
        <v>1</v>
      </c>
    </row>
    <row r="121" spans="1:27">
      <c r="A121" s="243">
        <v>0</v>
      </c>
      <c r="B121" s="243">
        <f>SUM(B109:B112)/4</f>
        <v>24.135593186438559</v>
      </c>
      <c r="C121" s="243">
        <f t="shared" ref="C121:M121" si="108">SUM(C109:C112)/4</f>
        <v>24.684956287714755</v>
      </c>
      <c r="D121" s="243">
        <f t="shared" si="108"/>
        <v>24.880778379280635</v>
      </c>
      <c r="E121" s="243">
        <f t="shared" si="108"/>
        <v>24.915350065303663</v>
      </c>
      <c r="F121" s="243">
        <f t="shared" si="108"/>
        <v>24.856033425033559</v>
      </c>
      <c r="G121" s="243">
        <f t="shared" si="108"/>
        <v>24.501728415268868</v>
      </c>
      <c r="H121" s="243">
        <f t="shared" si="108"/>
        <v>24.051242820503742</v>
      </c>
      <c r="I121" s="243">
        <f t="shared" si="108"/>
        <v>23.233148000191662</v>
      </c>
      <c r="J121" s="243">
        <f t="shared" si="108"/>
        <v>22.6281418293201</v>
      </c>
      <c r="K121" s="243">
        <f t="shared" si="108"/>
        <v>22.19312545095773</v>
      </c>
      <c r="L121" s="243">
        <f t="shared" si="108"/>
        <v>21.873323459816024</v>
      </c>
      <c r="M121" s="243">
        <f t="shared" si="108"/>
        <v>21.631083906597535</v>
      </c>
      <c r="O121" s="99"/>
      <c r="Q121" s="297"/>
      <c r="R121" s="297"/>
      <c r="S121" s="297"/>
      <c r="T121" s="297"/>
      <c r="U121" s="297"/>
      <c r="W121" s="297"/>
      <c r="X121" s="304">
        <f t="shared" ref="X121" si="109">X119*X120/SQRT(X119^2+X120^2)</f>
        <v>0.40824829046386302</v>
      </c>
      <c r="Y121" s="304">
        <f t="shared" ref="Y121" si="110">Y119*Y120/SQRT(Y119^2+Y120^2)</f>
        <v>0.65457574966137511</v>
      </c>
      <c r="Z121" s="304">
        <f t="shared" ref="Z121" si="111">Z119*Z120/SQRT(Z119^2+Z120^2)</f>
        <v>0.65650386732795996</v>
      </c>
    </row>
    <row r="122" spans="1:27">
      <c r="A122" s="243">
        <v>1</v>
      </c>
      <c r="B122" s="243">
        <f>B121</f>
        <v>24.135593186438559</v>
      </c>
      <c r="C122" s="243">
        <f t="shared" ref="C122:M124" si="112">C121</f>
        <v>24.684956287714755</v>
      </c>
      <c r="D122" s="243">
        <f t="shared" si="112"/>
        <v>24.880778379280635</v>
      </c>
      <c r="E122" s="243">
        <f t="shared" si="112"/>
        <v>24.915350065303663</v>
      </c>
      <c r="F122" s="243">
        <f t="shared" si="112"/>
        <v>24.856033425033559</v>
      </c>
      <c r="G122" s="243">
        <f t="shared" si="112"/>
        <v>24.501728415268868</v>
      </c>
      <c r="H122" s="243">
        <f t="shared" si="112"/>
        <v>24.051242820503742</v>
      </c>
      <c r="I122" s="243">
        <f t="shared" si="112"/>
        <v>23.233148000191662</v>
      </c>
      <c r="J122" s="243">
        <f t="shared" si="112"/>
        <v>22.6281418293201</v>
      </c>
      <c r="K122" s="243">
        <f t="shared" si="112"/>
        <v>22.19312545095773</v>
      </c>
      <c r="L122" s="243">
        <f t="shared" si="112"/>
        <v>21.873323459816024</v>
      </c>
      <c r="M122" s="243">
        <f t="shared" si="112"/>
        <v>21.631083906597535</v>
      </c>
      <c r="O122" s="99"/>
      <c r="P122" s="190">
        <v>78.5</v>
      </c>
      <c r="Q122" s="297">
        <f t="shared" si="89"/>
        <v>3.9249999999999998</v>
      </c>
      <c r="R122" s="1">
        <f t="shared" ref="R122:R131" si="113">S122/1000/SQRT(T122/100)</f>
        <v>3.3</v>
      </c>
      <c r="S122" s="3">
        <v>330</v>
      </c>
      <c r="T122" s="3">
        <v>1</v>
      </c>
      <c r="U122" s="297"/>
      <c r="W122" s="297" t="s">
        <v>1206</v>
      </c>
      <c r="X122" s="318">
        <v>1</v>
      </c>
      <c r="Y122" s="318">
        <v>1</v>
      </c>
      <c r="Z122" s="318">
        <v>1</v>
      </c>
    </row>
    <row r="123" spans="1:27">
      <c r="A123" s="243">
        <v>2</v>
      </c>
      <c r="B123" s="243">
        <f t="shared" ref="B123:B124" si="114">B122</f>
        <v>24.135593186438559</v>
      </c>
      <c r="C123" s="243">
        <f t="shared" si="112"/>
        <v>24.684956287714755</v>
      </c>
      <c r="D123" s="243">
        <f t="shared" si="112"/>
        <v>24.880778379280635</v>
      </c>
      <c r="E123" s="243">
        <f t="shared" si="112"/>
        <v>24.915350065303663</v>
      </c>
      <c r="F123" s="243">
        <f t="shared" si="112"/>
        <v>24.856033425033559</v>
      </c>
      <c r="G123" s="243">
        <f t="shared" si="112"/>
        <v>24.501728415268868</v>
      </c>
      <c r="H123" s="243">
        <f t="shared" si="112"/>
        <v>24.051242820503742</v>
      </c>
      <c r="I123" s="243">
        <f t="shared" si="112"/>
        <v>23.233148000191662</v>
      </c>
      <c r="J123" s="243">
        <f t="shared" si="112"/>
        <v>22.6281418293201</v>
      </c>
      <c r="K123" s="243">
        <f t="shared" si="112"/>
        <v>22.19312545095773</v>
      </c>
      <c r="L123" s="243">
        <f t="shared" si="112"/>
        <v>21.873323459816024</v>
      </c>
      <c r="M123" s="243">
        <f t="shared" si="112"/>
        <v>21.631083906597535</v>
      </c>
      <c r="O123" s="99"/>
      <c r="P123" s="190">
        <v>176.625</v>
      </c>
      <c r="Q123" s="297">
        <f t="shared" si="89"/>
        <v>8.8312500000000007</v>
      </c>
      <c r="R123" s="1">
        <f t="shared" si="113"/>
        <v>4.5</v>
      </c>
      <c r="S123" s="3">
        <v>450</v>
      </c>
      <c r="T123" s="3">
        <v>1</v>
      </c>
      <c r="U123" s="297"/>
      <c r="W123" s="297"/>
      <c r="X123" s="304">
        <f t="shared" ref="X123" si="115">X121*X122/SQRT(X121^2+X122^2)</f>
        <v>0.3779644730092272</v>
      </c>
      <c r="Y123" s="304">
        <f t="shared" ref="Y123" si="116">Y121*Y122/SQRT(Y121^2+Y122^2)</f>
        <v>0.5476769196633583</v>
      </c>
      <c r="Z123" s="304">
        <f t="shared" ref="Z123" si="117">Z121*Z122/SQRT(Z121^2+Z122^2)</f>
        <v>0.54880476993323946</v>
      </c>
    </row>
    <row r="124" spans="1:27">
      <c r="A124" s="243">
        <v>3</v>
      </c>
      <c r="B124" s="243">
        <f t="shared" si="114"/>
        <v>24.135593186438559</v>
      </c>
      <c r="C124" s="243">
        <f t="shared" si="112"/>
        <v>24.684956287714755</v>
      </c>
      <c r="D124" s="243">
        <f t="shared" si="112"/>
        <v>24.880778379280635</v>
      </c>
      <c r="E124" s="243">
        <f t="shared" si="112"/>
        <v>24.915350065303663</v>
      </c>
      <c r="F124" s="243">
        <f t="shared" si="112"/>
        <v>24.856033425033559</v>
      </c>
      <c r="G124" s="243">
        <f t="shared" si="112"/>
        <v>24.501728415268868</v>
      </c>
      <c r="H124" s="243">
        <f t="shared" si="112"/>
        <v>24.051242820503742</v>
      </c>
      <c r="I124" s="243">
        <f t="shared" si="112"/>
        <v>23.233148000191662</v>
      </c>
      <c r="J124" s="243">
        <f t="shared" si="112"/>
        <v>22.6281418293201</v>
      </c>
      <c r="K124" s="243">
        <f t="shared" si="112"/>
        <v>22.19312545095773</v>
      </c>
      <c r="L124" s="243">
        <f t="shared" si="112"/>
        <v>21.873323459816024</v>
      </c>
      <c r="M124" s="243">
        <f t="shared" si="112"/>
        <v>21.631083906597535</v>
      </c>
      <c r="P124" s="190">
        <v>314</v>
      </c>
      <c r="Q124" s="297">
        <f t="shared" si="89"/>
        <v>15.7</v>
      </c>
      <c r="R124" s="1">
        <f t="shared" si="113"/>
        <v>7.5</v>
      </c>
      <c r="S124" s="3">
        <v>750</v>
      </c>
      <c r="T124" s="3">
        <v>1</v>
      </c>
      <c r="U124" s="297"/>
      <c r="W124" s="297" t="s">
        <v>1207</v>
      </c>
      <c r="X124" s="318">
        <v>1</v>
      </c>
      <c r="Y124" s="318">
        <v>1</v>
      </c>
      <c r="Z124" s="318">
        <v>1</v>
      </c>
    </row>
    <row r="125" spans="1:27">
      <c r="A125" s="243">
        <v>4</v>
      </c>
      <c r="B125" s="243">
        <f>SUM(B113:B119)/7</f>
        <v>20.643370217364865</v>
      </c>
      <c r="C125" s="243">
        <f t="shared" ref="C125:M125" si="118">SUM(C113:C119)/7</f>
        <v>21.327736974897114</v>
      </c>
      <c r="D125" s="243">
        <f t="shared" si="118"/>
        <v>21.826661364764202</v>
      </c>
      <c r="E125" s="243">
        <f t="shared" si="118"/>
        <v>22.189739489627783</v>
      </c>
      <c r="F125" s="243">
        <f t="shared" si="118"/>
        <v>22.450204113972497</v>
      </c>
      <c r="G125" s="243">
        <f t="shared" si="118"/>
        <v>22.784847637585592</v>
      </c>
      <c r="H125" s="243">
        <f t="shared" si="118"/>
        <v>22.837079621333867</v>
      </c>
      <c r="I125" s="243">
        <f t="shared" si="118"/>
        <v>22.599448560536526</v>
      </c>
      <c r="J125" s="243">
        <f t="shared" si="118"/>
        <v>22.266978947695836</v>
      </c>
      <c r="K125" s="243">
        <f t="shared" si="118"/>
        <v>21.969684942644651</v>
      </c>
      <c r="L125" s="243">
        <f t="shared" si="118"/>
        <v>21.725607702031901</v>
      </c>
      <c r="M125" s="243">
        <f t="shared" si="118"/>
        <v>21.528179696292334</v>
      </c>
      <c r="P125" s="190">
        <v>490.625</v>
      </c>
      <c r="Q125" s="297">
        <f t="shared" si="89"/>
        <v>24.53125</v>
      </c>
      <c r="R125" s="1">
        <f t="shared" si="113"/>
        <v>11.999999999999998</v>
      </c>
      <c r="S125" s="3">
        <v>1200</v>
      </c>
      <c r="T125" s="3">
        <v>1</v>
      </c>
      <c r="U125" s="297"/>
      <c r="W125" s="297"/>
      <c r="X125" s="304">
        <f t="shared" ref="X125" si="119">X123*X124/SQRT(X123^2+X124^2)</f>
        <v>0.35355339059327373</v>
      </c>
      <c r="Y125" s="304">
        <f t="shared" ref="Y125" si="120">Y123*Y124/SQRT(Y123^2+Y124^2)</f>
        <v>0.48035367050016287</v>
      </c>
      <c r="Z125" s="304">
        <f t="shared" ref="Z125" si="121">Z123*Z124/SQRT(Z123^2+Z124^2)</f>
        <v>0.48111408755340968</v>
      </c>
    </row>
    <row r="126" spans="1:27">
      <c r="A126" s="243">
        <v>5</v>
      </c>
      <c r="B126" s="243">
        <f>B125</f>
        <v>20.643370217364865</v>
      </c>
      <c r="C126" s="243">
        <f t="shared" ref="C126:M131" si="122">C125</f>
        <v>21.327736974897114</v>
      </c>
      <c r="D126" s="243">
        <f t="shared" si="122"/>
        <v>21.826661364764202</v>
      </c>
      <c r="E126" s="243">
        <f t="shared" si="122"/>
        <v>22.189739489627783</v>
      </c>
      <c r="F126" s="243">
        <f t="shared" si="122"/>
        <v>22.450204113972497</v>
      </c>
      <c r="G126" s="243">
        <f t="shared" si="122"/>
        <v>22.784847637585592</v>
      </c>
      <c r="H126" s="243">
        <f t="shared" si="122"/>
        <v>22.837079621333867</v>
      </c>
      <c r="I126" s="243">
        <f t="shared" si="122"/>
        <v>22.599448560536526</v>
      </c>
      <c r="J126" s="243">
        <f t="shared" si="122"/>
        <v>22.266978947695836</v>
      </c>
      <c r="K126" s="243">
        <f t="shared" si="122"/>
        <v>21.969684942644651</v>
      </c>
      <c r="L126" s="243">
        <f t="shared" si="122"/>
        <v>21.725607702031901</v>
      </c>
      <c r="M126" s="243">
        <f t="shared" si="122"/>
        <v>21.528179696292334</v>
      </c>
      <c r="P126" s="190">
        <v>803.84</v>
      </c>
      <c r="Q126" s="297">
        <f t="shared" si="89"/>
        <v>40.192</v>
      </c>
      <c r="R126" s="1">
        <f t="shared" si="113"/>
        <v>17</v>
      </c>
      <c r="S126" s="3">
        <v>1700</v>
      </c>
      <c r="T126" s="3">
        <v>1</v>
      </c>
      <c r="U126" s="297"/>
      <c r="W126" s="297" t="s">
        <v>1208</v>
      </c>
      <c r="X126" s="318">
        <v>1</v>
      </c>
      <c r="Y126" s="318">
        <v>1</v>
      </c>
      <c r="Z126" s="318">
        <v>1</v>
      </c>
    </row>
    <row r="127" spans="1:27">
      <c r="A127" s="243">
        <v>6</v>
      </c>
      <c r="B127" s="243">
        <f t="shared" ref="B127:B131" si="123">B126</f>
        <v>20.643370217364865</v>
      </c>
      <c r="C127" s="243">
        <f t="shared" si="122"/>
        <v>21.327736974897114</v>
      </c>
      <c r="D127" s="243">
        <f t="shared" si="122"/>
        <v>21.826661364764202</v>
      </c>
      <c r="E127" s="243">
        <f t="shared" si="122"/>
        <v>22.189739489627783</v>
      </c>
      <c r="F127" s="243">
        <f t="shared" si="122"/>
        <v>22.450204113972497</v>
      </c>
      <c r="G127" s="243">
        <f t="shared" si="122"/>
        <v>22.784847637585592</v>
      </c>
      <c r="H127" s="243">
        <f t="shared" si="122"/>
        <v>22.837079621333867</v>
      </c>
      <c r="I127" s="243">
        <f t="shared" si="122"/>
        <v>22.599448560536526</v>
      </c>
      <c r="J127" s="243">
        <f t="shared" si="122"/>
        <v>22.266978947695836</v>
      </c>
      <c r="K127" s="243">
        <f t="shared" si="122"/>
        <v>21.969684942644651</v>
      </c>
      <c r="L127" s="243">
        <f t="shared" si="122"/>
        <v>21.725607702031901</v>
      </c>
      <c r="M127" s="243">
        <f t="shared" si="122"/>
        <v>21.528179696292334</v>
      </c>
      <c r="P127" s="190">
        <v>1256</v>
      </c>
      <c r="Q127" s="297">
        <f t="shared" si="89"/>
        <v>62.8</v>
      </c>
      <c r="R127" s="1">
        <f t="shared" si="113"/>
        <v>23.999999999999996</v>
      </c>
      <c r="S127" s="3">
        <v>2400</v>
      </c>
      <c r="T127" s="3">
        <v>1</v>
      </c>
      <c r="U127" s="297"/>
      <c r="W127" s="297"/>
      <c r="X127" s="304">
        <f t="shared" ref="X127" si="124">X125*X126/SQRT(X125^2+X126^2)</f>
        <v>0.33333333333333331</v>
      </c>
      <c r="Y127" s="304">
        <f t="shared" ref="Y127" si="125">Y125*Y126/SQRT(Y125^2+Y126^2)</f>
        <v>0.43299015090910925</v>
      </c>
      <c r="Z127" s="304">
        <f t="shared" ref="Z127" si="126">Z125*Z126/SQRT(Z125^2+Z126^2)</f>
        <v>0.43354683546204403</v>
      </c>
    </row>
    <row r="128" spans="1:27">
      <c r="A128" s="243">
        <v>7</v>
      </c>
      <c r="B128" s="243">
        <f t="shared" si="123"/>
        <v>20.643370217364865</v>
      </c>
      <c r="C128" s="243">
        <f t="shared" si="122"/>
        <v>21.327736974897114</v>
      </c>
      <c r="D128" s="243">
        <f t="shared" si="122"/>
        <v>21.826661364764202</v>
      </c>
      <c r="E128" s="243">
        <f t="shared" si="122"/>
        <v>22.189739489627783</v>
      </c>
      <c r="F128" s="243">
        <f t="shared" si="122"/>
        <v>22.450204113972497</v>
      </c>
      <c r="G128" s="243">
        <f t="shared" si="122"/>
        <v>22.784847637585592</v>
      </c>
      <c r="H128" s="243">
        <f t="shared" si="122"/>
        <v>22.837079621333867</v>
      </c>
      <c r="I128" s="243">
        <f t="shared" si="122"/>
        <v>22.599448560536526</v>
      </c>
      <c r="J128" s="243">
        <f t="shared" si="122"/>
        <v>22.266978947695836</v>
      </c>
      <c r="K128" s="243">
        <f t="shared" si="122"/>
        <v>21.969684942644651</v>
      </c>
      <c r="L128" s="243">
        <f t="shared" si="122"/>
        <v>21.725607702031901</v>
      </c>
      <c r="M128" s="243">
        <f t="shared" si="122"/>
        <v>21.528179696292334</v>
      </c>
      <c r="P128" s="190">
        <v>1962.5</v>
      </c>
      <c r="Q128" s="297">
        <f t="shared" si="89"/>
        <v>98.125</v>
      </c>
      <c r="R128" s="1">
        <f t="shared" si="113"/>
        <v>34</v>
      </c>
      <c r="S128" s="3">
        <v>3400</v>
      </c>
      <c r="T128" s="3">
        <v>1</v>
      </c>
      <c r="U128" s="297"/>
    </row>
    <row r="129" spans="1:26">
      <c r="A129" s="243">
        <v>8</v>
      </c>
      <c r="B129" s="243">
        <f t="shared" si="123"/>
        <v>20.643370217364865</v>
      </c>
      <c r="C129" s="243">
        <f t="shared" si="122"/>
        <v>21.327736974897114</v>
      </c>
      <c r="D129" s="243">
        <f t="shared" si="122"/>
        <v>21.826661364764202</v>
      </c>
      <c r="E129" s="243">
        <f t="shared" si="122"/>
        <v>22.189739489627783</v>
      </c>
      <c r="F129" s="243">
        <f t="shared" si="122"/>
        <v>22.450204113972497</v>
      </c>
      <c r="G129" s="243">
        <f t="shared" si="122"/>
        <v>22.784847637585592</v>
      </c>
      <c r="H129" s="243">
        <f t="shared" si="122"/>
        <v>22.837079621333867</v>
      </c>
      <c r="I129" s="243">
        <f t="shared" si="122"/>
        <v>22.599448560536526</v>
      </c>
      <c r="J129" s="243">
        <f t="shared" si="122"/>
        <v>22.266978947695836</v>
      </c>
      <c r="K129" s="243">
        <f t="shared" si="122"/>
        <v>21.969684942644651</v>
      </c>
      <c r="L129" s="243">
        <f t="shared" si="122"/>
        <v>21.725607702031901</v>
      </c>
      <c r="M129" s="243">
        <f t="shared" si="122"/>
        <v>21.528179696292334</v>
      </c>
      <c r="P129" s="190">
        <v>3316.625</v>
      </c>
      <c r="Q129" s="297">
        <f t="shared" si="89"/>
        <v>165.83125000000001</v>
      </c>
      <c r="R129" s="1">
        <f t="shared" si="113"/>
        <v>57.975090436420281</v>
      </c>
      <c r="S129" s="3">
        <v>5500</v>
      </c>
      <c r="T129" s="3">
        <v>0.9</v>
      </c>
      <c r="U129" s="297"/>
    </row>
    <row r="130" spans="1:26">
      <c r="A130" s="243">
        <v>9</v>
      </c>
      <c r="B130" s="243">
        <f t="shared" si="123"/>
        <v>20.643370217364865</v>
      </c>
      <c r="C130" s="243">
        <f t="shared" si="122"/>
        <v>21.327736974897114</v>
      </c>
      <c r="D130" s="243">
        <f t="shared" si="122"/>
        <v>21.826661364764202</v>
      </c>
      <c r="E130" s="243">
        <f t="shared" si="122"/>
        <v>22.189739489627783</v>
      </c>
      <c r="F130" s="243">
        <f t="shared" si="122"/>
        <v>22.450204113972497</v>
      </c>
      <c r="G130" s="243">
        <f t="shared" si="122"/>
        <v>22.784847637585592</v>
      </c>
      <c r="H130" s="243">
        <f t="shared" si="122"/>
        <v>22.837079621333867</v>
      </c>
      <c r="I130" s="243">
        <f t="shared" si="122"/>
        <v>22.599448560536526</v>
      </c>
      <c r="J130" s="243">
        <f t="shared" si="122"/>
        <v>22.266978947695836</v>
      </c>
      <c r="K130" s="243">
        <f t="shared" si="122"/>
        <v>21.969684942644651</v>
      </c>
      <c r="L130" s="243">
        <f t="shared" si="122"/>
        <v>21.725607702031901</v>
      </c>
      <c r="M130" s="243">
        <f t="shared" si="122"/>
        <v>21.528179696292334</v>
      </c>
      <c r="P130" s="190">
        <v>5024</v>
      </c>
      <c r="Q130" s="297">
        <f t="shared" si="89"/>
        <v>251.2</v>
      </c>
      <c r="R130" s="1">
        <f t="shared" si="113"/>
        <v>77.781745930520231</v>
      </c>
      <c r="S130" s="3">
        <v>5500</v>
      </c>
      <c r="T130" s="3">
        <v>0.5</v>
      </c>
      <c r="U130" s="297"/>
      <c r="W130" s="190">
        <v>1</v>
      </c>
      <c r="X130" s="317">
        <v>2.5</v>
      </c>
      <c r="Y130" s="190">
        <f>X130</f>
        <v>2.5</v>
      </c>
    </row>
    <row r="131" spans="1:26">
      <c r="A131" s="243">
        <v>10</v>
      </c>
      <c r="B131" s="243">
        <f t="shared" si="123"/>
        <v>20.643370217364865</v>
      </c>
      <c r="C131" s="243">
        <f t="shared" si="122"/>
        <v>21.327736974897114</v>
      </c>
      <c r="D131" s="243">
        <f t="shared" si="122"/>
        <v>21.826661364764202</v>
      </c>
      <c r="E131" s="243">
        <f t="shared" si="122"/>
        <v>22.189739489627783</v>
      </c>
      <c r="F131" s="243">
        <f t="shared" si="122"/>
        <v>22.450204113972497</v>
      </c>
      <c r="G131" s="243">
        <f t="shared" si="122"/>
        <v>22.784847637585592</v>
      </c>
      <c r="H131" s="243">
        <f t="shared" si="122"/>
        <v>22.837079621333867</v>
      </c>
      <c r="I131" s="243">
        <f t="shared" si="122"/>
        <v>22.599448560536526</v>
      </c>
      <c r="J131" s="243">
        <f t="shared" si="122"/>
        <v>22.266978947695836</v>
      </c>
      <c r="K131" s="243">
        <f t="shared" si="122"/>
        <v>21.969684942644651</v>
      </c>
      <c r="L131" s="243">
        <f t="shared" si="122"/>
        <v>21.725607702031901</v>
      </c>
      <c r="M131" s="243">
        <f t="shared" si="122"/>
        <v>21.528179696292334</v>
      </c>
      <c r="P131" s="190">
        <v>7850</v>
      </c>
      <c r="Q131" s="297">
        <f t="shared" si="89"/>
        <v>392.5</v>
      </c>
      <c r="R131" s="1">
        <f t="shared" si="113"/>
        <v>95.74271077563381</v>
      </c>
      <c r="S131" s="3">
        <v>5500</v>
      </c>
      <c r="T131" s="3">
        <v>0.33</v>
      </c>
      <c r="U131" s="297"/>
      <c r="W131" s="190">
        <v>2</v>
      </c>
      <c r="X131" s="317">
        <v>2.5</v>
      </c>
      <c r="Y131" s="304">
        <f>X130*X131/SQRT(X130^2+X131^2)</f>
        <v>1.7677669529663687</v>
      </c>
    </row>
    <row r="132" spans="1:26">
      <c r="A132" s="243"/>
      <c r="B132" s="243" t="s">
        <v>690</v>
      </c>
      <c r="C132" s="243"/>
      <c r="D132" s="243"/>
      <c r="E132" s="243"/>
      <c r="F132" s="243"/>
      <c r="G132" s="243"/>
      <c r="H132" s="243"/>
      <c r="I132" s="243"/>
      <c r="J132" s="243"/>
      <c r="K132" s="243"/>
      <c r="L132" s="243"/>
      <c r="M132" s="243"/>
      <c r="W132" s="297">
        <v>3</v>
      </c>
      <c r="X132" s="317">
        <v>5</v>
      </c>
      <c r="Y132" s="304">
        <f t="shared" ref="Y132:Y138" si="127">Y131*X132/SQRT(Y131^2+X132^2)</f>
        <v>1.6666666666666663</v>
      </c>
      <c r="Z132" s="190">
        <f>Y132/Y$131</f>
        <v>0.94280904158206325</v>
      </c>
    </row>
    <row r="133" spans="1:26">
      <c r="A133" s="243">
        <v>0</v>
      </c>
      <c r="B133" s="190">
        <f t="shared" ref="B133:M143" si="128">20+B$106/10*($A$104-20)</f>
        <v>21.745238561512192</v>
      </c>
      <c r="C133" s="243">
        <f t="shared" si="128"/>
        <v>22.437492287062625</v>
      </c>
      <c r="D133" s="243">
        <f t="shared" si="128"/>
        <v>22.857805492624983</v>
      </c>
      <c r="E133" s="243">
        <f t="shared" si="128"/>
        <v>23.122178774175559</v>
      </c>
      <c r="F133" s="243">
        <f t="shared" si="128"/>
        <v>23.281017040813389</v>
      </c>
      <c r="G133" s="243">
        <f t="shared" si="128"/>
        <v>23.386924200434468</v>
      </c>
      <c r="H133" s="243">
        <f t="shared" si="128"/>
        <v>23.266864028728552</v>
      </c>
      <c r="I133" s="243">
        <f t="shared" si="128"/>
        <v>22.826113318284776</v>
      </c>
      <c r="J133" s="243">
        <f t="shared" si="128"/>
        <v>22.396849853416882</v>
      </c>
      <c r="K133" s="243">
        <f t="shared" si="128"/>
        <v>22.050277816627439</v>
      </c>
      <c r="L133" s="243">
        <f t="shared" si="128"/>
        <v>21.778989530738652</v>
      </c>
      <c r="M133" s="243">
        <f t="shared" si="128"/>
        <v>21.565415214910111</v>
      </c>
      <c r="W133" s="297">
        <v>4</v>
      </c>
      <c r="X133" s="317">
        <f>X132</f>
        <v>5</v>
      </c>
      <c r="Y133" s="304">
        <f t="shared" si="127"/>
        <v>1.5811388300841895</v>
      </c>
      <c r="Z133" s="297">
        <f t="shared" ref="Z133:Z138" si="129">Y133/Y$131</f>
        <v>0.89442719099991586</v>
      </c>
    </row>
    <row r="134" spans="1:26">
      <c r="A134" s="243">
        <v>1</v>
      </c>
      <c r="B134" s="243">
        <f t="shared" si="128"/>
        <v>21.745238561512192</v>
      </c>
      <c r="C134" s="243">
        <f t="shared" si="128"/>
        <v>22.437492287062625</v>
      </c>
      <c r="D134" s="243">
        <f t="shared" si="128"/>
        <v>22.857805492624983</v>
      </c>
      <c r="E134" s="243">
        <f t="shared" si="128"/>
        <v>23.122178774175559</v>
      </c>
      <c r="F134" s="243">
        <f t="shared" si="128"/>
        <v>23.281017040813389</v>
      </c>
      <c r="G134" s="243">
        <f t="shared" si="128"/>
        <v>23.386924200434468</v>
      </c>
      <c r="H134" s="243">
        <f t="shared" si="128"/>
        <v>23.266864028728552</v>
      </c>
      <c r="I134" s="243">
        <f t="shared" si="128"/>
        <v>22.826113318284776</v>
      </c>
      <c r="J134" s="243">
        <f t="shared" si="128"/>
        <v>22.396849853416882</v>
      </c>
      <c r="K134" s="243">
        <f t="shared" si="128"/>
        <v>22.050277816627439</v>
      </c>
      <c r="L134" s="243">
        <f t="shared" si="128"/>
        <v>21.778989530738652</v>
      </c>
      <c r="M134" s="243">
        <f t="shared" si="128"/>
        <v>21.565415214910111</v>
      </c>
      <c r="W134" s="297">
        <v>5</v>
      </c>
      <c r="X134" s="317">
        <f t="shared" ref="X134:X138" si="130">X133</f>
        <v>5</v>
      </c>
      <c r="Y134" s="304">
        <f t="shared" si="127"/>
        <v>1.5075567228888178</v>
      </c>
      <c r="Z134" s="297">
        <f t="shared" si="129"/>
        <v>0.85280286542244166</v>
      </c>
    </row>
    <row r="135" spans="1:26">
      <c r="A135" s="243">
        <v>2</v>
      </c>
      <c r="B135" s="243">
        <f t="shared" si="128"/>
        <v>21.745238561512192</v>
      </c>
      <c r="C135" s="243">
        <f t="shared" si="128"/>
        <v>22.437492287062625</v>
      </c>
      <c r="D135" s="243">
        <f t="shared" si="128"/>
        <v>22.857805492624983</v>
      </c>
      <c r="E135" s="243">
        <f t="shared" si="128"/>
        <v>23.122178774175559</v>
      </c>
      <c r="F135" s="243">
        <f t="shared" si="128"/>
        <v>23.281017040813389</v>
      </c>
      <c r="G135" s="243">
        <f t="shared" si="128"/>
        <v>23.386924200434468</v>
      </c>
      <c r="H135" s="243">
        <f t="shared" si="128"/>
        <v>23.266864028728552</v>
      </c>
      <c r="I135" s="243">
        <f t="shared" si="128"/>
        <v>22.826113318284776</v>
      </c>
      <c r="J135" s="243">
        <f t="shared" si="128"/>
        <v>22.396849853416882</v>
      </c>
      <c r="K135" s="243">
        <f t="shared" si="128"/>
        <v>22.050277816627439</v>
      </c>
      <c r="L135" s="243">
        <f t="shared" si="128"/>
        <v>21.778989530738652</v>
      </c>
      <c r="M135" s="243">
        <f t="shared" si="128"/>
        <v>21.565415214910111</v>
      </c>
      <c r="W135" s="297">
        <v>6</v>
      </c>
      <c r="X135" s="317">
        <f t="shared" si="130"/>
        <v>5</v>
      </c>
      <c r="Y135" s="304">
        <f t="shared" si="127"/>
        <v>1.4433756729740643</v>
      </c>
      <c r="Z135" s="297">
        <f t="shared" si="129"/>
        <v>0.81649658092772603</v>
      </c>
    </row>
    <row r="136" spans="1:26">
      <c r="A136" s="243">
        <v>3</v>
      </c>
      <c r="B136" s="243">
        <f t="shared" si="128"/>
        <v>21.745238561512192</v>
      </c>
      <c r="C136" s="243">
        <f t="shared" si="128"/>
        <v>22.437492287062625</v>
      </c>
      <c r="D136" s="243">
        <f t="shared" si="128"/>
        <v>22.857805492624983</v>
      </c>
      <c r="E136" s="243">
        <f t="shared" si="128"/>
        <v>23.122178774175559</v>
      </c>
      <c r="F136" s="243">
        <f t="shared" si="128"/>
        <v>23.281017040813389</v>
      </c>
      <c r="G136" s="243">
        <f t="shared" si="128"/>
        <v>23.386924200434468</v>
      </c>
      <c r="H136" s="243">
        <f t="shared" si="128"/>
        <v>23.266864028728552</v>
      </c>
      <c r="I136" s="243">
        <f t="shared" si="128"/>
        <v>22.826113318284776</v>
      </c>
      <c r="J136" s="243">
        <f t="shared" si="128"/>
        <v>22.396849853416882</v>
      </c>
      <c r="K136" s="243">
        <f t="shared" si="128"/>
        <v>22.050277816627439</v>
      </c>
      <c r="L136" s="243">
        <f t="shared" si="128"/>
        <v>21.778989530738652</v>
      </c>
      <c r="M136" s="243">
        <f t="shared" si="128"/>
        <v>21.565415214910111</v>
      </c>
      <c r="W136" s="297">
        <v>7</v>
      </c>
      <c r="X136" s="317">
        <f t="shared" si="130"/>
        <v>5</v>
      </c>
      <c r="Y136" s="304">
        <f t="shared" si="127"/>
        <v>1.386750490563073</v>
      </c>
      <c r="Z136" s="297">
        <f t="shared" si="129"/>
        <v>0.78446454055273629</v>
      </c>
    </row>
    <row r="137" spans="1:26">
      <c r="A137" s="243">
        <v>4</v>
      </c>
      <c r="B137" s="243">
        <f t="shared" si="128"/>
        <v>21.745238561512192</v>
      </c>
      <c r="C137" s="243">
        <f t="shared" si="128"/>
        <v>22.437492287062625</v>
      </c>
      <c r="D137" s="243">
        <f t="shared" si="128"/>
        <v>22.857805492624983</v>
      </c>
      <c r="E137" s="243">
        <f t="shared" si="128"/>
        <v>23.122178774175559</v>
      </c>
      <c r="F137" s="243">
        <f t="shared" si="128"/>
        <v>23.281017040813389</v>
      </c>
      <c r="G137" s="243">
        <f t="shared" si="128"/>
        <v>23.386924200434468</v>
      </c>
      <c r="H137" s="243">
        <f t="shared" si="128"/>
        <v>23.266864028728552</v>
      </c>
      <c r="I137" s="243">
        <f t="shared" si="128"/>
        <v>22.826113318284776</v>
      </c>
      <c r="J137" s="243">
        <f t="shared" si="128"/>
        <v>22.396849853416882</v>
      </c>
      <c r="K137" s="243">
        <f t="shared" si="128"/>
        <v>22.050277816627439</v>
      </c>
      <c r="L137" s="243">
        <f t="shared" si="128"/>
        <v>21.778989530738652</v>
      </c>
      <c r="M137" s="243">
        <f t="shared" si="128"/>
        <v>21.565415214910111</v>
      </c>
      <c r="W137" s="297">
        <v>8</v>
      </c>
      <c r="X137" s="317">
        <f t="shared" si="130"/>
        <v>5</v>
      </c>
      <c r="Y137" s="304">
        <f t="shared" si="127"/>
        <v>1.3363062095621221</v>
      </c>
      <c r="Z137" s="297">
        <f t="shared" si="129"/>
        <v>0.75592894601845462</v>
      </c>
    </row>
    <row r="138" spans="1:26">
      <c r="A138" s="243">
        <v>5</v>
      </c>
      <c r="B138" s="243">
        <f t="shared" si="128"/>
        <v>21.745238561512192</v>
      </c>
      <c r="C138" s="243">
        <f t="shared" si="128"/>
        <v>22.437492287062625</v>
      </c>
      <c r="D138" s="243">
        <f t="shared" si="128"/>
        <v>22.857805492624983</v>
      </c>
      <c r="E138" s="243">
        <f t="shared" si="128"/>
        <v>23.122178774175559</v>
      </c>
      <c r="F138" s="243">
        <f t="shared" si="128"/>
        <v>23.281017040813389</v>
      </c>
      <c r="G138" s="243">
        <f t="shared" si="128"/>
        <v>23.386924200434468</v>
      </c>
      <c r="H138" s="243">
        <f t="shared" si="128"/>
        <v>23.266864028728552</v>
      </c>
      <c r="I138" s="243">
        <f t="shared" si="128"/>
        <v>22.826113318284776</v>
      </c>
      <c r="J138" s="243">
        <f t="shared" si="128"/>
        <v>22.396849853416882</v>
      </c>
      <c r="K138" s="243">
        <f t="shared" si="128"/>
        <v>22.050277816627439</v>
      </c>
      <c r="L138" s="243">
        <f t="shared" si="128"/>
        <v>21.778989530738652</v>
      </c>
      <c r="M138" s="243">
        <f t="shared" si="128"/>
        <v>21.565415214910111</v>
      </c>
      <c r="W138" s="297">
        <v>9</v>
      </c>
      <c r="X138" s="317">
        <f t="shared" si="130"/>
        <v>5</v>
      </c>
      <c r="Y138" s="304">
        <f t="shared" si="127"/>
        <v>1.2909944487358056</v>
      </c>
      <c r="Z138" s="297">
        <f t="shared" si="129"/>
        <v>0.73029674334022154</v>
      </c>
    </row>
    <row r="139" spans="1:26">
      <c r="A139" s="243">
        <v>6</v>
      </c>
      <c r="B139" s="243">
        <f t="shared" si="128"/>
        <v>21.745238561512192</v>
      </c>
      <c r="C139" s="243">
        <f t="shared" si="128"/>
        <v>22.437492287062625</v>
      </c>
      <c r="D139" s="243">
        <f t="shared" si="128"/>
        <v>22.857805492624983</v>
      </c>
      <c r="E139" s="243">
        <f t="shared" si="128"/>
        <v>23.122178774175559</v>
      </c>
      <c r="F139" s="243">
        <f t="shared" si="128"/>
        <v>23.281017040813389</v>
      </c>
      <c r="G139" s="243">
        <f t="shared" si="128"/>
        <v>23.386924200434468</v>
      </c>
      <c r="H139" s="243">
        <f t="shared" si="128"/>
        <v>23.266864028728552</v>
      </c>
      <c r="I139" s="243">
        <f t="shared" si="128"/>
        <v>22.826113318284776</v>
      </c>
      <c r="J139" s="243">
        <f t="shared" si="128"/>
        <v>22.396849853416882</v>
      </c>
      <c r="K139" s="243">
        <f t="shared" si="128"/>
        <v>22.050277816627439</v>
      </c>
      <c r="L139" s="243">
        <f t="shared" si="128"/>
        <v>21.778989530738652</v>
      </c>
      <c r="M139" s="243">
        <f t="shared" si="128"/>
        <v>21.565415214910111</v>
      </c>
    </row>
    <row r="140" spans="1:26">
      <c r="A140" s="243">
        <v>7</v>
      </c>
      <c r="B140" s="243">
        <f t="shared" si="128"/>
        <v>21.745238561512192</v>
      </c>
      <c r="C140" s="243">
        <f t="shared" si="128"/>
        <v>22.437492287062625</v>
      </c>
      <c r="D140" s="243">
        <f t="shared" si="128"/>
        <v>22.857805492624983</v>
      </c>
      <c r="E140" s="243">
        <f t="shared" si="128"/>
        <v>23.122178774175559</v>
      </c>
      <c r="F140" s="243">
        <f t="shared" si="128"/>
        <v>23.281017040813389</v>
      </c>
      <c r="G140" s="243">
        <f t="shared" si="128"/>
        <v>23.386924200434468</v>
      </c>
      <c r="H140" s="243">
        <f t="shared" si="128"/>
        <v>23.266864028728552</v>
      </c>
      <c r="I140" s="243">
        <f t="shared" si="128"/>
        <v>22.826113318284776</v>
      </c>
      <c r="J140" s="243">
        <f t="shared" si="128"/>
        <v>22.396849853416882</v>
      </c>
      <c r="K140" s="243">
        <f t="shared" si="128"/>
        <v>22.050277816627439</v>
      </c>
      <c r="L140" s="243">
        <f t="shared" si="128"/>
        <v>21.778989530738652</v>
      </c>
      <c r="M140" s="243">
        <f t="shared" si="128"/>
        <v>21.565415214910111</v>
      </c>
      <c r="Y140" s="190">
        <v>0.80588373958852955</v>
      </c>
    </row>
    <row r="141" spans="1:26">
      <c r="A141" s="243">
        <v>8</v>
      </c>
      <c r="B141" s="243">
        <f t="shared" si="128"/>
        <v>21.745238561512192</v>
      </c>
      <c r="C141" s="243">
        <f t="shared" si="128"/>
        <v>22.437492287062625</v>
      </c>
      <c r="D141" s="243">
        <f t="shared" si="128"/>
        <v>22.857805492624983</v>
      </c>
      <c r="E141" s="243">
        <f t="shared" si="128"/>
        <v>23.122178774175559</v>
      </c>
      <c r="F141" s="243">
        <f t="shared" si="128"/>
        <v>23.281017040813389</v>
      </c>
      <c r="G141" s="243">
        <f t="shared" si="128"/>
        <v>23.386924200434468</v>
      </c>
      <c r="H141" s="243">
        <f t="shared" si="128"/>
        <v>23.266864028728552</v>
      </c>
      <c r="I141" s="243">
        <f t="shared" si="128"/>
        <v>22.826113318284776</v>
      </c>
      <c r="J141" s="243">
        <f t="shared" si="128"/>
        <v>22.396849853416882</v>
      </c>
      <c r="K141" s="243">
        <f t="shared" si="128"/>
        <v>22.050277816627439</v>
      </c>
      <c r="L141" s="243">
        <f t="shared" si="128"/>
        <v>21.778989530738652</v>
      </c>
      <c r="M141" s="243">
        <f t="shared" si="128"/>
        <v>21.565415214910111</v>
      </c>
    </row>
    <row r="142" spans="1:26">
      <c r="A142" s="243">
        <v>9</v>
      </c>
      <c r="B142" s="243">
        <f t="shared" si="128"/>
        <v>21.745238561512192</v>
      </c>
      <c r="C142" s="243">
        <f t="shared" si="128"/>
        <v>22.437492287062625</v>
      </c>
      <c r="D142" s="243">
        <f t="shared" si="128"/>
        <v>22.857805492624983</v>
      </c>
      <c r="E142" s="243">
        <f t="shared" si="128"/>
        <v>23.122178774175559</v>
      </c>
      <c r="F142" s="243">
        <f t="shared" si="128"/>
        <v>23.281017040813389</v>
      </c>
      <c r="G142" s="243">
        <f t="shared" si="128"/>
        <v>23.386924200434468</v>
      </c>
      <c r="H142" s="243">
        <f t="shared" si="128"/>
        <v>23.266864028728552</v>
      </c>
      <c r="I142" s="243">
        <f t="shared" si="128"/>
        <v>22.826113318284776</v>
      </c>
      <c r="J142" s="243">
        <f t="shared" si="128"/>
        <v>22.396849853416882</v>
      </c>
      <c r="K142" s="243">
        <f t="shared" si="128"/>
        <v>22.050277816627439</v>
      </c>
      <c r="L142" s="243">
        <f t="shared" si="128"/>
        <v>21.778989530738652</v>
      </c>
      <c r="M142" s="243">
        <f t="shared" si="128"/>
        <v>21.565415214910111</v>
      </c>
    </row>
    <row r="143" spans="1:26">
      <c r="A143" s="243">
        <v>10</v>
      </c>
      <c r="B143" s="243">
        <f t="shared" si="128"/>
        <v>21.745238561512192</v>
      </c>
      <c r="C143" s="243">
        <f t="shared" si="128"/>
        <v>22.437492287062625</v>
      </c>
      <c r="D143" s="243">
        <f t="shared" si="128"/>
        <v>22.857805492624983</v>
      </c>
      <c r="E143" s="243">
        <f t="shared" si="128"/>
        <v>23.122178774175559</v>
      </c>
      <c r="F143" s="243">
        <f t="shared" si="128"/>
        <v>23.281017040813389</v>
      </c>
      <c r="G143" s="243">
        <f t="shared" si="128"/>
        <v>23.386924200434468</v>
      </c>
      <c r="H143" s="243">
        <f t="shared" si="128"/>
        <v>23.266864028728552</v>
      </c>
      <c r="I143" s="243">
        <f t="shared" si="128"/>
        <v>22.826113318284776</v>
      </c>
      <c r="J143" s="243">
        <f t="shared" si="128"/>
        <v>22.396849853416882</v>
      </c>
      <c r="K143" s="243">
        <f t="shared" si="128"/>
        <v>22.050277816627439</v>
      </c>
      <c r="L143" s="243">
        <f t="shared" si="128"/>
        <v>21.778989530738652</v>
      </c>
      <c r="M143" s="243">
        <f t="shared" si="128"/>
        <v>21.565415214910111</v>
      </c>
    </row>
    <row r="146" spans="1:18">
      <c r="A146" s="244" t="s">
        <v>707</v>
      </c>
    </row>
    <row r="147" spans="1:18" ht="17.25">
      <c r="A147" s="243" t="s">
        <v>708</v>
      </c>
      <c r="J147" s="243" t="s">
        <v>709</v>
      </c>
    </row>
    <row r="148" spans="1:18">
      <c r="A148" s="243" t="s">
        <v>706</v>
      </c>
      <c r="B148" s="243"/>
      <c r="C148" s="243"/>
      <c r="D148" s="243"/>
      <c r="E148" s="243"/>
      <c r="F148" s="243"/>
      <c r="G148" s="243"/>
      <c r="H148" s="243"/>
      <c r="I148" s="243"/>
      <c r="J148" s="243"/>
      <c r="K148" s="243"/>
    </row>
    <row r="149" spans="1:18">
      <c r="A149" s="243"/>
      <c r="B149" s="243"/>
      <c r="C149" s="243">
        <v>75</v>
      </c>
      <c r="D149" s="243">
        <v>150</v>
      </c>
      <c r="E149" s="243">
        <v>225</v>
      </c>
      <c r="F149" s="243">
        <v>300</v>
      </c>
      <c r="G149" s="243" t="s">
        <v>710</v>
      </c>
      <c r="H149" s="243">
        <v>0</v>
      </c>
      <c r="I149" s="243">
        <v>75</v>
      </c>
      <c r="J149" s="243">
        <v>150</v>
      </c>
      <c r="K149" s="243">
        <v>225</v>
      </c>
      <c r="L149" s="243">
        <v>300</v>
      </c>
      <c r="R149" s="258" t="s">
        <v>759</v>
      </c>
    </row>
    <row r="150" spans="1:18">
      <c r="A150" s="243">
        <v>15</v>
      </c>
      <c r="B150" s="243">
        <v>25</v>
      </c>
      <c r="C150" s="243">
        <v>76</v>
      </c>
      <c r="D150" s="243">
        <v>69</v>
      </c>
      <c r="E150" s="243">
        <v>62</v>
      </c>
      <c r="F150" s="243">
        <v>53</v>
      </c>
      <c r="G150" s="243" t="s">
        <v>711</v>
      </c>
      <c r="H150" s="243"/>
      <c r="I150" s="243">
        <f>C150/($B150-$A150)</f>
        <v>7.6</v>
      </c>
      <c r="J150" s="243">
        <f t="shared" ref="J150:L162" si="131">D150/($B150-$A150)</f>
        <v>6.9</v>
      </c>
      <c r="K150" s="243">
        <f t="shared" si="131"/>
        <v>6.2</v>
      </c>
      <c r="L150" s="243">
        <f t="shared" si="131"/>
        <v>5.3</v>
      </c>
    </row>
    <row r="151" spans="1:18">
      <c r="A151" s="243">
        <v>15</v>
      </c>
      <c r="B151" s="243">
        <v>30</v>
      </c>
      <c r="C151" s="243">
        <v>114</v>
      </c>
      <c r="D151" s="243">
        <v>103</v>
      </c>
      <c r="E151" s="243">
        <v>91</v>
      </c>
      <c r="F151" s="243">
        <v>79</v>
      </c>
      <c r="G151" s="243"/>
      <c r="H151" s="243"/>
      <c r="I151" s="243">
        <f t="shared" ref="I151:I162" si="132">C151/($B151-$A151)</f>
        <v>7.6</v>
      </c>
      <c r="J151" s="243">
        <f t="shared" si="131"/>
        <v>6.8666666666666663</v>
      </c>
      <c r="K151" s="243">
        <f t="shared" si="131"/>
        <v>6.0666666666666664</v>
      </c>
      <c r="L151" s="243">
        <f t="shared" si="131"/>
        <v>5.2666666666666666</v>
      </c>
    </row>
    <row r="152" spans="1:18">
      <c r="A152" s="243">
        <v>15</v>
      </c>
      <c r="B152" s="243">
        <v>35</v>
      </c>
      <c r="C152" s="243">
        <v>152</v>
      </c>
      <c r="D152" s="243">
        <v>137</v>
      </c>
      <c r="E152" s="243">
        <v>120</v>
      </c>
      <c r="F152" s="243">
        <v>105</v>
      </c>
      <c r="G152" s="243"/>
      <c r="H152" s="243"/>
      <c r="I152" s="243">
        <f t="shared" si="132"/>
        <v>7.6</v>
      </c>
      <c r="J152" s="243">
        <f t="shared" si="131"/>
        <v>6.85</v>
      </c>
      <c r="K152" s="243">
        <f t="shared" si="131"/>
        <v>6</v>
      </c>
      <c r="L152" s="243">
        <f t="shared" si="131"/>
        <v>5.25</v>
      </c>
    </row>
    <row r="153" spans="1:18">
      <c r="A153" s="243">
        <v>15</v>
      </c>
      <c r="B153" s="243">
        <v>40</v>
      </c>
      <c r="C153" s="243">
        <v>189</v>
      </c>
      <c r="D153" s="243">
        <v>171</v>
      </c>
      <c r="E153" s="243">
        <v>151</v>
      </c>
      <c r="F153" s="243">
        <v>132</v>
      </c>
      <c r="G153" s="243"/>
      <c r="H153" s="243"/>
      <c r="I153" s="243">
        <f t="shared" si="132"/>
        <v>7.56</v>
      </c>
      <c r="J153" s="243">
        <f t="shared" si="131"/>
        <v>6.84</v>
      </c>
      <c r="K153" s="243">
        <f t="shared" si="131"/>
        <v>6.04</v>
      </c>
      <c r="L153" s="243">
        <f t="shared" si="131"/>
        <v>5.28</v>
      </c>
    </row>
    <row r="154" spans="1:18">
      <c r="A154" s="243">
        <v>15</v>
      </c>
      <c r="B154" s="243">
        <v>45</v>
      </c>
      <c r="C154" s="243">
        <v>227</v>
      </c>
      <c r="D154" s="243">
        <v>206</v>
      </c>
      <c r="E154" s="243">
        <v>180</v>
      </c>
      <c r="F154" s="243">
        <v>157</v>
      </c>
      <c r="G154" s="243"/>
      <c r="H154" s="243"/>
      <c r="I154" s="243">
        <f t="shared" si="132"/>
        <v>7.5666666666666664</v>
      </c>
      <c r="J154" s="243">
        <f t="shared" si="131"/>
        <v>6.8666666666666663</v>
      </c>
      <c r="K154" s="243">
        <f t="shared" si="131"/>
        <v>6</v>
      </c>
      <c r="L154" s="243">
        <f t="shared" si="131"/>
        <v>5.2333333333333334</v>
      </c>
    </row>
    <row r="155" spans="1:18">
      <c r="A155" s="243">
        <v>20</v>
      </c>
      <c r="B155" s="243">
        <v>25</v>
      </c>
      <c r="C155" s="243">
        <v>38</v>
      </c>
      <c r="D155" s="243">
        <v>35</v>
      </c>
      <c r="E155" s="243">
        <v>29</v>
      </c>
      <c r="F155" s="243">
        <v>27</v>
      </c>
      <c r="G155" s="243"/>
      <c r="H155" s="243"/>
      <c r="I155" s="243">
        <f t="shared" si="132"/>
        <v>7.6</v>
      </c>
      <c r="J155" s="243">
        <f t="shared" si="131"/>
        <v>7</v>
      </c>
      <c r="K155" s="243">
        <f t="shared" si="131"/>
        <v>5.8</v>
      </c>
      <c r="L155" s="243">
        <f t="shared" si="131"/>
        <v>5.4</v>
      </c>
    </row>
    <row r="156" spans="1:18">
      <c r="A156" s="243">
        <v>20</v>
      </c>
      <c r="B156" s="243">
        <v>30</v>
      </c>
      <c r="C156" s="243">
        <v>76</v>
      </c>
      <c r="D156" s="243">
        <v>69</v>
      </c>
      <c r="E156" s="243">
        <v>60</v>
      </c>
      <c r="F156" s="243">
        <v>53</v>
      </c>
      <c r="G156" s="243"/>
      <c r="H156" s="243"/>
      <c r="I156" s="243">
        <f t="shared" si="132"/>
        <v>7.6</v>
      </c>
      <c r="J156" s="243">
        <f t="shared" si="131"/>
        <v>6.9</v>
      </c>
      <c r="K156" s="243">
        <f t="shared" si="131"/>
        <v>6</v>
      </c>
      <c r="L156" s="243">
        <f t="shared" si="131"/>
        <v>5.3</v>
      </c>
    </row>
    <row r="157" spans="1:18">
      <c r="A157" s="243">
        <v>20</v>
      </c>
      <c r="B157" s="243">
        <v>35</v>
      </c>
      <c r="C157" s="243">
        <v>114</v>
      </c>
      <c r="D157" s="243">
        <v>103</v>
      </c>
      <c r="E157" s="243">
        <v>91</v>
      </c>
      <c r="F157" s="243">
        <v>79</v>
      </c>
      <c r="G157" s="243"/>
      <c r="H157" s="243"/>
      <c r="I157" s="243">
        <f t="shared" si="132"/>
        <v>7.6</v>
      </c>
      <c r="J157" s="243">
        <f t="shared" si="131"/>
        <v>6.8666666666666663</v>
      </c>
      <c r="K157" s="243">
        <f t="shared" si="131"/>
        <v>6.0666666666666664</v>
      </c>
      <c r="L157" s="243">
        <f t="shared" si="131"/>
        <v>5.2666666666666666</v>
      </c>
    </row>
    <row r="158" spans="1:18">
      <c r="A158" s="243">
        <v>20</v>
      </c>
      <c r="B158" s="243">
        <v>40</v>
      </c>
      <c r="C158" s="243">
        <v>152</v>
      </c>
      <c r="D158" s="243">
        <v>137</v>
      </c>
      <c r="E158" s="243">
        <v>120</v>
      </c>
      <c r="F158" s="243">
        <v>105</v>
      </c>
      <c r="G158" s="243"/>
      <c r="H158" s="243"/>
      <c r="I158" s="243">
        <f t="shared" si="132"/>
        <v>7.6</v>
      </c>
      <c r="J158" s="243">
        <f t="shared" si="131"/>
        <v>6.85</v>
      </c>
      <c r="K158" s="243">
        <f t="shared" si="131"/>
        <v>6</v>
      </c>
      <c r="L158" s="243">
        <f t="shared" si="131"/>
        <v>5.25</v>
      </c>
    </row>
    <row r="159" spans="1:18">
      <c r="A159" s="243">
        <v>20</v>
      </c>
      <c r="B159" s="243">
        <v>45</v>
      </c>
      <c r="C159" s="243">
        <v>189</v>
      </c>
      <c r="D159" s="243">
        <v>171</v>
      </c>
      <c r="E159" s="243">
        <v>151</v>
      </c>
      <c r="F159" s="243">
        <v>132</v>
      </c>
      <c r="G159" s="243"/>
      <c r="H159" s="243"/>
      <c r="I159" s="243">
        <f t="shared" si="132"/>
        <v>7.56</v>
      </c>
      <c r="J159" s="243">
        <f t="shared" si="131"/>
        <v>6.84</v>
      </c>
      <c r="K159" s="243">
        <f t="shared" si="131"/>
        <v>6.04</v>
      </c>
      <c r="L159" s="243">
        <f t="shared" si="131"/>
        <v>5.28</v>
      </c>
    </row>
    <row r="160" spans="1:18">
      <c r="A160" s="243">
        <v>24</v>
      </c>
      <c r="B160" s="243">
        <v>25</v>
      </c>
      <c r="C160" s="244">
        <v>9</v>
      </c>
      <c r="D160" s="244">
        <v>8</v>
      </c>
      <c r="E160" s="244">
        <v>7</v>
      </c>
      <c r="F160" s="244">
        <v>6</v>
      </c>
      <c r="G160" s="243"/>
      <c r="H160" s="243"/>
      <c r="I160" s="243"/>
      <c r="J160" s="243"/>
      <c r="K160" s="243"/>
      <c r="L160" s="243"/>
    </row>
    <row r="161" spans="1:36">
      <c r="A161" s="243">
        <v>24</v>
      </c>
      <c r="B161" s="243">
        <v>30</v>
      </c>
      <c r="C161" s="243">
        <v>46</v>
      </c>
      <c r="D161" s="243">
        <v>41</v>
      </c>
      <c r="E161" s="243">
        <v>37</v>
      </c>
      <c r="F161" s="243">
        <v>32</v>
      </c>
      <c r="G161" s="243"/>
      <c r="H161" s="243"/>
      <c r="I161" s="243">
        <f t="shared" si="132"/>
        <v>7.666666666666667</v>
      </c>
      <c r="J161" s="243">
        <f t="shared" si="131"/>
        <v>6.833333333333333</v>
      </c>
      <c r="K161" s="243">
        <f t="shared" si="131"/>
        <v>6.166666666666667</v>
      </c>
      <c r="L161" s="243">
        <f t="shared" si="131"/>
        <v>5.333333333333333</v>
      </c>
    </row>
    <row r="162" spans="1:36">
      <c r="A162" s="243">
        <v>24</v>
      </c>
      <c r="B162" s="243">
        <v>35</v>
      </c>
      <c r="C162" s="243">
        <v>83</v>
      </c>
      <c r="D162" s="243">
        <v>76</v>
      </c>
      <c r="E162" s="243">
        <v>66</v>
      </c>
      <c r="F162" s="243">
        <v>58</v>
      </c>
      <c r="G162" s="243"/>
      <c r="H162" s="243"/>
      <c r="I162" s="243">
        <f t="shared" si="132"/>
        <v>7.5454545454545459</v>
      </c>
      <c r="J162" s="243">
        <f t="shared" si="131"/>
        <v>6.9090909090909092</v>
      </c>
      <c r="K162" s="243">
        <f t="shared" si="131"/>
        <v>6</v>
      </c>
      <c r="L162" s="243">
        <f t="shared" si="131"/>
        <v>5.2727272727272725</v>
      </c>
    </row>
    <row r="163" spans="1:36">
      <c r="A163" s="243"/>
      <c r="B163" s="243"/>
      <c r="C163" s="243"/>
      <c r="D163" s="243"/>
      <c r="E163" s="243"/>
      <c r="F163" s="243"/>
      <c r="G163" s="243"/>
      <c r="H163" s="243"/>
      <c r="I163" s="243"/>
      <c r="J163" s="243"/>
      <c r="K163" s="243"/>
      <c r="L163" s="243"/>
    </row>
    <row r="164" spans="1:36" ht="15.75" customHeight="1">
      <c r="A164" s="253" t="s">
        <v>717</v>
      </c>
      <c r="B164" s="243"/>
      <c r="C164" s="243"/>
      <c r="D164" s="243"/>
      <c r="E164" s="243"/>
      <c r="F164" s="243"/>
      <c r="G164" s="243" t="s">
        <v>770</v>
      </c>
      <c r="H164" s="243"/>
      <c r="I164" s="246">
        <f>SUM(I150:I162)/12</f>
        <v>7.5915656565656571</v>
      </c>
      <c r="J164" s="246">
        <f t="shared" ref="J164:L164" si="133">SUM(J150:J162)/12</f>
        <v>6.8768686868686864</v>
      </c>
      <c r="K164" s="246">
        <f t="shared" si="133"/>
        <v>6.0316666666666663</v>
      </c>
      <c r="L164" s="246">
        <f t="shared" si="133"/>
        <v>5.2860606060606061</v>
      </c>
    </row>
    <row r="165" spans="1:36" ht="15.75" customHeight="1">
      <c r="A165" s="243"/>
      <c r="B165" s="243" t="s">
        <v>757</v>
      </c>
      <c r="C165" s="243">
        <v>75</v>
      </c>
      <c r="D165" s="243">
        <v>150</v>
      </c>
      <c r="E165" s="243">
        <v>225</v>
      </c>
      <c r="F165" s="243">
        <v>300</v>
      </c>
      <c r="G165" s="243" t="s">
        <v>771</v>
      </c>
      <c r="H165" s="243">
        <v>6.5873010887737138</v>
      </c>
      <c r="I165" s="246">
        <f>6.1383067644883*M165</f>
        <v>6.1383067644883003</v>
      </c>
      <c r="J165" s="243">
        <f>5.11425998859952*M165</f>
        <v>5.1142599885995201</v>
      </c>
      <c r="K165" s="243">
        <f>4.16085817977503*M165</f>
        <v>4.1608581797750297</v>
      </c>
      <c r="L165" s="243">
        <f>3.42780270519784*M165</f>
        <v>3.4278027051978399</v>
      </c>
      <c r="M165" s="245">
        <v>1</v>
      </c>
      <c r="O165" s="190">
        <f>I166/I165</f>
        <v>1.1811074744493277</v>
      </c>
      <c r="P165" s="243">
        <f t="shared" ref="P165:R165" si="134">J166/J165</f>
        <v>1.1243073314257865</v>
      </c>
      <c r="Q165" s="243">
        <f t="shared" si="134"/>
        <v>1.129574668717529</v>
      </c>
      <c r="R165" s="243">
        <f t="shared" si="134"/>
        <v>1.1669283048101029</v>
      </c>
      <c r="S165" s="243" t="s">
        <v>772</v>
      </c>
      <c r="V165" s="190">
        <f>I164/I165</f>
        <v>1.2367524054817263</v>
      </c>
      <c r="W165" s="243">
        <f>J164/J165</f>
        <v>1.344645892504154</v>
      </c>
      <c r="X165" s="243">
        <f>K164/K165</f>
        <v>1.4496208248541622</v>
      </c>
      <c r="Y165" s="243">
        <f>L164/L165</f>
        <v>1.542113435538442</v>
      </c>
      <c r="Z165" s="243" t="s">
        <v>773</v>
      </c>
    </row>
    <row r="166" spans="1:36" ht="15.75" customHeight="1">
      <c r="A166" s="243" t="s">
        <v>758</v>
      </c>
      <c r="B166" s="243"/>
      <c r="C166" s="243">
        <v>145</v>
      </c>
      <c r="D166" s="243">
        <v>115</v>
      </c>
      <c r="E166" s="243">
        <v>94</v>
      </c>
      <c r="F166" s="243">
        <v>80</v>
      </c>
      <c r="G166" s="243" t="s">
        <v>758</v>
      </c>
      <c r="H166" s="243"/>
      <c r="I166" s="243">
        <f t="shared" ref="I166:I167" si="135">C166/20</f>
        <v>7.25</v>
      </c>
      <c r="J166" s="243">
        <f t="shared" ref="J166:J167" si="136">D166/20</f>
        <v>5.75</v>
      </c>
      <c r="K166" s="243">
        <f t="shared" ref="K166:K167" si="137">E166/20</f>
        <v>4.7</v>
      </c>
      <c r="L166" s="243">
        <f t="shared" ref="L166:L167" si="138">F166/20</f>
        <v>4</v>
      </c>
      <c r="M166" s="243" t="s">
        <v>712</v>
      </c>
    </row>
    <row r="167" spans="1:36" ht="15.75" customHeight="1">
      <c r="A167" s="243" t="s">
        <v>734</v>
      </c>
      <c r="B167" s="243"/>
      <c r="C167" s="243">
        <v>103</v>
      </c>
      <c r="D167" s="243">
        <v>86</v>
      </c>
      <c r="E167" s="243">
        <v>71</v>
      </c>
      <c r="F167" s="243">
        <v>60</v>
      </c>
      <c r="G167" s="243" t="s">
        <v>734</v>
      </c>
      <c r="H167" s="243"/>
      <c r="I167" s="243">
        <f t="shared" si="135"/>
        <v>5.15</v>
      </c>
      <c r="J167" s="243">
        <f t="shared" si="136"/>
        <v>4.3</v>
      </c>
      <c r="K167" s="243">
        <f t="shared" si="137"/>
        <v>3.55</v>
      </c>
      <c r="L167" s="243">
        <f t="shared" si="138"/>
        <v>3</v>
      </c>
      <c r="M167" s="243" t="s">
        <v>713</v>
      </c>
    </row>
    <row r="168" spans="1:36" ht="15.75" customHeight="1">
      <c r="A168" s="243" t="s">
        <v>740</v>
      </c>
      <c r="B168" s="243"/>
      <c r="C168" s="243">
        <v>80</v>
      </c>
      <c r="D168" s="243">
        <v>70</v>
      </c>
      <c r="E168" s="243">
        <v>59</v>
      </c>
      <c r="F168" s="243">
        <v>51</v>
      </c>
      <c r="G168" s="243" t="s">
        <v>740</v>
      </c>
      <c r="H168" s="243"/>
      <c r="I168" s="190">
        <f>C168/20</f>
        <v>4</v>
      </c>
      <c r="J168" s="243">
        <f t="shared" ref="J168:L168" si="139">D168/20</f>
        <v>3.5</v>
      </c>
      <c r="K168" s="243">
        <f t="shared" si="139"/>
        <v>2.95</v>
      </c>
      <c r="L168" s="243">
        <f t="shared" si="139"/>
        <v>2.5499999999999998</v>
      </c>
      <c r="M168" s="243" t="s">
        <v>714</v>
      </c>
    </row>
    <row r="169" spans="1:36" ht="15.75" customHeight="1">
      <c r="A169" s="243" t="s">
        <v>744</v>
      </c>
      <c r="B169" s="243"/>
      <c r="C169" s="243">
        <v>68</v>
      </c>
      <c r="D169" s="243">
        <v>58</v>
      </c>
      <c r="E169" s="243">
        <v>51</v>
      </c>
      <c r="F169" s="243">
        <v>43</v>
      </c>
      <c r="G169" s="243" t="s">
        <v>744</v>
      </c>
      <c r="H169" s="243"/>
      <c r="I169" s="243">
        <f t="shared" ref="I169" si="140">C169/20</f>
        <v>3.4</v>
      </c>
      <c r="J169" s="243">
        <f t="shared" ref="J169" si="141">D169/20</f>
        <v>2.9</v>
      </c>
      <c r="K169" s="243">
        <f t="shared" ref="K169" si="142">E169/20</f>
        <v>2.5499999999999998</v>
      </c>
      <c r="L169" s="243">
        <f t="shared" ref="L169" si="143">F169/20</f>
        <v>2.15</v>
      </c>
      <c r="M169" s="243" t="s">
        <v>715</v>
      </c>
    </row>
    <row r="170" spans="1:36" ht="15.75" customHeight="1">
      <c r="A170" s="243"/>
      <c r="G170" s="242" t="s">
        <v>765</v>
      </c>
      <c r="H170" s="242">
        <f t="shared" ref="H170:I170" si="144">$M170/(H$149/2+$N170/2)</f>
        <v>2.0833333333333335</v>
      </c>
      <c r="I170" s="242">
        <f t="shared" si="144"/>
        <v>1.8018018018018018</v>
      </c>
      <c r="J170" s="242">
        <f>$M170/(J$149/2+$N170/2)</f>
        <v>1.5873015873015872</v>
      </c>
      <c r="K170" s="242">
        <f>$M170/(K$149/2+$N170/2)</f>
        <v>1.4184397163120568</v>
      </c>
      <c r="L170" s="242">
        <f>$M170/(L$149/2+$N170/2)</f>
        <v>1.2820512820512822</v>
      </c>
      <c r="M170" s="243">
        <v>500</v>
      </c>
      <c r="N170" s="243">
        <v>480</v>
      </c>
      <c r="P170" s="243" t="s">
        <v>760</v>
      </c>
      <c r="R170" s="243" t="s">
        <v>766</v>
      </c>
      <c r="Z170" s="243" t="s">
        <v>764</v>
      </c>
    </row>
    <row r="171" spans="1:36" ht="15.75" customHeight="1">
      <c r="A171" s="243"/>
      <c r="G171" s="242" t="s">
        <v>764</v>
      </c>
      <c r="H171" s="242">
        <f>$M171/SQRT(H$149*H$149+$N171*$N171)</f>
        <v>6.666666666666667</v>
      </c>
      <c r="I171" s="242">
        <f>$M171/SQRT(I$149*I$149+$N171*$N171)</f>
        <v>6.1538461538461542</v>
      </c>
      <c r="J171" s="242">
        <f>$M171/SQRT(J$149*J$149+$N171*$N171)</f>
        <v>5.1214751973158386</v>
      </c>
      <c r="K171" s="242">
        <f>$M171/SQRT(K$149*K$149+$N171*$N171)</f>
        <v>4.1646336503628287</v>
      </c>
      <c r="L171" s="242">
        <f>$M171/SQRT(L$149*L$149+$N171*$N171)</f>
        <v>3.4299717028501764</v>
      </c>
      <c r="M171" s="154">
        <v>1200</v>
      </c>
      <c r="N171" s="154">
        <v>180</v>
      </c>
      <c r="O171" s="243"/>
      <c r="P171" s="243">
        <v>2130</v>
      </c>
      <c r="Q171" s="243">
        <v>480</v>
      </c>
      <c r="R171" s="243" t="s">
        <v>767</v>
      </c>
      <c r="V171" s="190">
        <v>2020</v>
      </c>
      <c r="W171" s="190">
        <v>250</v>
      </c>
      <c r="X171" s="243" t="s">
        <v>769</v>
      </c>
      <c r="AG171" s="190">
        <v>2130</v>
      </c>
      <c r="AH171" s="190">
        <v>480</v>
      </c>
      <c r="AI171" s="190">
        <v>2130</v>
      </c>
      <c r="AJ171" s="190">
        <v>270</v>
      </c>
    </row>
    <row r="172" spans="1:36" ht="15.75" customHeight="1">
      <c r="G172" s="243"/>
      <c r="H172" s="243"/>
      <c r="I172" s="243"/>
      <c r="J172" s="243"/>
      <c r="K172" s="243"/>
      <c r="L172" s="243"/>
      <c r="M172" s="243"/>
      <c r="N172" s="243"/>
      <c r="P172" s="243"/>
      <c r="R172" s="243" t="s">
        <v>768</v>
      </c>
      <c r="X172" s="243" t="s">
        <v>762</v>
      </c>
      <c r="AG172" s="190">
        <v>1000</v>
      </c>
      <c r="AH172" s="190">
        <v>200</v>
      </c>
      <c r="AI172" s="243">
        <v>1400</v>
      </c>
      <c r="AJ172" s="243">
        <v>180</v>
      </c>
    </row>
    <row r="173" spans="1:36">
      <c r="F173" s="243"/>
      <c r="G173" s="243"/>
      <c r="H173" s="243"/>
      <c r="I173" s="243"/>
      <c r="J173" s="243"/>
      <c r="K173" s="243"/>
      <c r="L173" s="243"/>
      <c r="M173" s="243"/>
      <c r="N173" s="243"/>
      <c r="P173" s="243"/>
      <c r="R173" s="243" t="s">
        <v>761</v>
      </c>
      <c r="V173" s="190">
        <v>1200</v>
      </c>
      <c r="W173" s="190">
        <v>180</v>
      </c>
      <c r="X173" s="243" t="s">
        <v>761</v>
      </c>
      <c r="AG173" s="243">
        <v>900</v>
      </c>
      <c r="AH173" s="243">
        <v>210</v>
      </c>
      <c r="AI173" s="190">
        <v>1200</v>
      </c>
      <c r="AJ173" s="190">
        <v>180</v>
      </c>
    </row>
    <row r="174" spans="1:36">
      <c r="B174" s="243"/>
      <c r="C174" s="243"/>
      <c r="D174" s="243"/>
      <c r="E174" s="243"/>
      <c r="F174" s="243"/>
      <c r="G174" s="243"/>
      <c r="H174" s="243"/>
      <c r="I174" s="243"/>
      <c r="J174" s="243"/>
      <c r="K174" s="243"/>
      <c r="L174" s="243"/>
      <c r="M174" s="243"/>
      <c r="N174" s="243"/>
      <c r="O174" s="243"/>
      <c r="P174" s="243"/>
      <c r="Q174" s="243"/>
      <c r="R174" s="243" t="s">
        <v>763</v>
      </c>
      <c r="U174" s="243"/>
      <c r="V174" s="243"/>
      <c r="W174" s="243"/>
      <c r="X174" s="243" t="s">
        <v>763</v>
      </c>
      <c r="Y174" s="243"/>
      <c r="AG174" s="190">
        <v>650</v>
      </c>
      <c r="AH174" s="190">
        <v>300</v>
      </c>
      <c r="AI174" s="190">
        <v>850</v>
      </c>
      <c r="AJ174" s="190">
        <v>250</v>
      </c>
    </row>
    <row r="175" spans="1:36">
      <c r="A175" s="243"/>
      <c r="B175" s="243"/>
      <c r="C175" s="243"/>
      <c r="D175" s="243"/>
      <c r="E175" s="243"/>
      <c r="F175" s="243"/>
      <c r="G175" s="243"/>
      <c r="H175" s="243"/>
      <c r="I175" s="243"/>
      <c r="J175" s="243"/>
      <c r="K175" s="243"/>
      <c r="L175" s="243"/>
      <c r="M175" s="243"/>
      <c r="N175" s="243"/>
      <c r="O175" s="243"/>
      <c r="P175" s="243"/>
      <c r="S175" s="243"/>
      <c r="T175" s="243"/>
      <c r="U175" s="243"/>
      <c r="V175" s="243"/>
      <c r="W175" s="243"/>
      <c r="X175" s="243"/>
      <c r="Y175" s="243"/>
      <c r="Z175" s="243"/>
      <c r="AA175" s="243"/>
    </row>
    <row r="176" spans="1:36">
      <c r="A176" s="243" t="s">
        <v>716</v>
      </c>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row>
    <row r="177" spans="1:27">
      <c r="A177" s="253" t="s">
        <v>717</v>
      </c>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t="s">
        <v>74</v>
      </c>
      <c r="Z177" s="243">
        <f>Z180*Z178</f>
        <v>9.7000000000000003E-2</v>
      </c>
      <c r="AA177" s="243">
        <f>AA181*AA178</f>
        <v>7.7999999999999996E-3</v>
      </c>
    </row>
    <row r="178" spans="1:27">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t="s">
        <v>718</v>
      </c>
      <c r="Z178" s="243">
        <v>1</v>
      </c>
      <c r="AA178" s="243">
        <v>0.13</v>
      </c>
    </row>
    <row r="179" spans="1:27">
      <c r="A179" s="243" t="s">
        <v>719</v>
      </c>
      <c r="B179" s="243"/>
      <c r="C179" s="243"/>
      <c r="D179" s="243"/>
      <c r="E179" s="243"/>
      <c r="F179" s="243" t="s">
        <v>720</v>
      </c>
      <c r="G179" s="243" t="s">
        <v>721</v>
      </c>
      <c r="H179" s="243"/>
      <c r="I179" s="243"/>
      <c r="J179" s="243"/>
      <c r="K179" s="243"/>
      <c r="L179" s="243"/>
      <c r="M179" s="243"/>
      <c r="N179" s="243"/>
      <c r="O179" s="243"/>
      <c r="P179" s="243"/>
      <c r="Q179" s="243"/>
      <c r="R179" s="243"/>
      <c r="S179" s="243"/>
      <c r="T179" s="243"/>
      <c r="U179" s="243"/>
      <c r="V179" s="243"/>
      <c r="W179" s="243" t="s">
        <v>722</v>
      </c>
      <c r="X179" s="243"/>
      <c r="Y179" s="243">
        <v>5.3E-3</v>
      </c>
      <c r="Z179" s="243"/>
      <c r="AA179" s="243"/>
    </row>
    <row r="180" spans="1:27">
      <c r="A180" s="243" t="s">
        <v>723</v>
      </c>
      <c r="B180" s="243"/>
      <c r="C180" s="243" t="s">
        <v>724</v>
      </c>
      <c r="D180" s="243" t="s">
        <v>725</v>
      </c>
      <c r="E180" s="243" t="s">
        <v>726</v>
      </c>
      <c r="F180" s="243"/>
      <c r="G180" s="243"/>
      <c r="H180" s="243"/>
      <c r="I180" s="243"/>
      <c r="J180" s="243"/>
      <c r="K180" s="243"/>
      <c r="L180" s="243"/>
      <c r="M180" s="243"/>
      <c r="N180" s="243"/>
      <c r="O180" s="243"/>
      <c r="P180" s="243"/>
      <c r="Q180" s="243" t="s">
        <v>322</v>
      </c>
      <c r="R180" s="243"/>
      <c r="S180" s="243"/>
      <c r="T180" s="243"/>
      <c r="U180" s="243"/>
      <c r="V180" s="243"/>
      <c r="W180" s="243"/>
      <c r="X180" s="243"/>
      <c r="Y180" s="243"/>
      <c r="Z180" s="243">
        <v>9.7000000000000003E-2</v>
      </c>
      <c r="AA180" s="243">
        <f>Z180</f>
        <v>9.7000000000000003E-2</v>
      </c>
    </row>
    <row r="181" spans="1:27">
      <c r="A181" s="243" t="s">
        <v>727</v>
      </c>
      <c r="B181" s="243" t="s">
        <v>756</v>
      </c>
      <c r="C181" s="243">
        <v>10</v>
      </c>
      <c r="D181" s="243">
        <v>20</v>
      </c>
      <c r="E181" s="243">
        <f t="shared" ref="E181:E188" si="145">D181/C181</f>
        <v>2</v>
      </c>
      <c r="F181" s="243" t="s">
        <v>728</v>
      </c>
      <c r="G181" s="243" t="s">
        <v>720</v>
      </c>
      <c r="H181" s="243" t="s">
        <v>729</v>
      </c>
      <c r="I181" s="243" t="s">
        <v>730</v>
      </c>
      <c r="J181" s="243" t="s">
        <v>731</v>
      </c>
      <c r="K181" s="243"/>
      <c r="L181" s="243" t="s">
        <v>732</v>
      </c>
      <c r="M181" s="243" t="s">
        <v>732</v>
      </c>
      <c r="N181" s="243"/>
      <c r="O181" s="243"/>
      <c r="P181" s="243" t="s">
        <v>733</v>
      </c>
      <c r="Q181" s="243"/>
      <c r="R181" s="243"/>
      <c r="S181" s="243"/>
      <c r="T181" s="243"/>
      <c r="U181" s="243"/>
      <c r="V181" s="243"/>
      <c r="W181" s="243"/>
      <c r="X181" s="243"/>
      <c r="Y181" s="243"/>
      <c r="Z181" s="243"/>
      <c r="AA181" s="243">
        <v>0.06</v>
      </c>
    </row>
    <row r="182" spans="1:27">
      <c r="A182" s="243">
        <v>5</v>
      </c>
      <c r="B182" s="243">
        <v>0</v>
      </c>
      <c r="C182" s="243">
        <v>79</v>
      </c>
      <c r="D182" s="243">
        <v>155</v>
      </c>
      <c r="E182" s="243">
        <f t="shared" si="145"/>
        <v>1.9620253164556962</v>
      </c>
      <c r="F182" s="243">
        <f t="shared" ref="F182:F188" si="146">20/D182</f>
        <v>0.12903225806451613</v>
      </c>
      <c r="G182" s="243">
        <f>1/F182</f>
        <v>7.75</v>
      </c>
      <c r="H182" s="243">
        <f>1/(1/G182-1/10)</f>
        <v>34.444444444444457</v>
      </c>
      <c r="I182" s="243">
        <f>1/H182</f>
        <v>2.903225806451612E-2</v>
      </c>
      <c r="J182" s="243">
        <f>100*I182</f>
        <v>2.9032258064516121</v>
      </c>
      <c r="K182" s="243"/>
      <c r="L182" s="243">
        <f>1/M182*100</f>
        <v>8.5000000000000018</v>
      </c>
      <c r="M182" s="243">
        <v>11.764705882352938</v>
      </c>
      <c r="N182" s="243"/>
      <c r="O182" s="243"/>
      <c r="P182" s="243">
        <f t="shared" ref="P182:P188" si="147">9.7+A182*0.53</f>
        <v>12.35</v>
      </c>
      <c r="Q182" s="243">
        <f>100/P182</f>
        <v>8.097165991902834</v>
      </c>
      <c r="R182" s="243">
        <f>100/(9.7+A182*0.53)</f>
        <v>8.097165991902834</v>
      </c>
      <c r="S182" s="243">
        <f>100/(4.7+A182*0.53)</f>
        <v>13.605442176870747</v>
      </c>
      <c r="T182" s="243"/>
      <c r="U182" s="243"/>
      <c r="V182" s="243"/>
      <c r="W182" s="243">
        <f>20+100*F182</f>
        <v>32.903225806451616</v>
      </c>
      <c r="X182" s="243"/>
      <c r="Y182" s="243">
        <f t="shared" ref="Y182:Y188" si="148">A182*Y$6</f>
        <v>0</v>
      </c>
      <c r="Z182" s="243">
        <f t="shared" ref="Z182:Z188" si="149">F182-Z$7-Z$8</f>
        <v>-47.456814768027272</v>
      </c>
      <c r="AA182" s="243">
        <f t="shared" ref="AA182:AA188" si="150">F192-AA$7-AA$8</f>
        <v>-46.951733624114091</v>
      </c>
    </row>
    <row r="183" spans="1:27">
      <c r="A183" s="243">
        <v>7.5</v>
      </c>
      <c r="B183" s="243">
        <v>0</v>
      </c>
      <c r="C183" s="243">
        <v>72</v>
      </c>
      <c r="D183" s="243">
        <v>145</v>
      </c>
      <c r="E183" s="243">
        <f t="shared" si="145"/>
        <v>2.0138888888888888</v>
      </c>
      <c r="F183" s="243">
        <f t="shared" si="146"/>
        <v>0.13793103448275862</v>
      </c>
      <c r="G183" s="243">
        <f t="shared" ref="G183:G188" si="151">1/F183</f>
        <v>7.25</v>
      </c>
      <c r="H183" s="243">
        <f t="shared" ref="H183:H188" si="152">1/(1/G183-1/10)</f>
        <v>26.36363636363637</v>
      </c>
      <c r="I183" s="243">
        <f t="shared" ref="I183:I188" si="153">1/H183</f>
        <v>3.7931034482758613E-2</v>
      </c>
      <c r="J183" s="243">
        <f t="shared" ref="J183:J188" si="154">100*I183</f>
        <v>3.7931034482758612</v>
      </c>
      <c r="K183" s="243"/>
      <c r="L183" s="243">
        <f t="shared" ref="L183:L188" si="155">1/M183*100</f>
        <v>9.7500000000000036</v>
      </c>
      <c r="M183" s="243">
        <v>10.256410256410254</v>
      </c>
      <c r="N183" s="243"/>
      <c r="O183" s="243"/>
      <c r="P183" s="243">
        <f t="shared" si="147"/>
        <v>13.674999999999999</v>
      </c>
      <c r="Q183" s="243">
        <f t="shared" ref="Q183:Q188" si="156">100/P183</f>
        <v>7.3126142595978072</v>
      </c>
      <c r="R183" s="243">
        <f t="shared" ref="R183:R188" si="157">100/(9.7+A183*0.53)</f>
        <v>7.3126142595978072</v>
      </c>
      <c r="S183" s="243">
        <f t="shared" ref="S183:S188" si="158">100/(4.7+A183*0.53)</f>
        <v>11.527377521613833</v>
      </c>
      <c r="T183" s="243"/>
      <c r="U183" s="243"/>
      <c r="V183" s="243"/>
      <c r="W183" s="243">
        <f t="shared" ref="W183:W188" si="159">20+100*F183</f>
        <v>33.793103448275858</v>
      </c>
      <c r="X183" s="243"/>
      <c r="Y183" s="243">
        <f t="shared" si="148"/>
        <v>0</v>
      </c>
      <c r="Z183" s="243">
        <f t="shared" si="149"/>
        <v>-47.44791599160903</v>
      </c>
      <c r="AA183" s="243">
        <f t="shared" si="150"/>
        <v>-46.93747337455973</v>
      </c>
    </row>
    <row r="184" spans="1:27">
      <c r="A184" s="243">
        <v>10</v>
      </c>
      <c r="B184" s="243">
        <v>0</v>
      </c>
      <c r="C184" s="243">
        <v>67</v>
      </c>
      <c r="D184" s="243">
        <v>135</v>
      </c>
      <c r="E184" s="243">
        <f t="shared" si="145"/>
        <v>2.0149253731343282</v>
      </c>
      <c r="F184" s="243">
        <f t="shared" si="146"/>
        <v>0.14814814814814814</v>
      </c>
      <c r="G184" s="243">
        <f t="shared" si="151"/>
        <v>6.75</v>
      </c>
      <c r="H184" s="243">
        <f t="shared" si="152"/>
        <v>20.769230769230774</v>
      </c>
      <c r="I184" s="243">
        <f t="shared" si="153"/>
        <v>4.8148148148148141E-2</v>
      </c>
      <c r="J184" s="243">
        <f t="shared" si="154"/>
        <v>4.814814814814814</v>
      </c>
      <c r="K184" s="243"/>
      <c r="L184" s="243">
        <f t="shared" si="155"/>
        <v>11.000000000000002</v>
      </c>
      <c r="M184" s="243">
        <v>9.0909090909090899</v>
      </c>
      <c r="N184" s="243"/>
      <c r="O184" s="243"/>
      <c r="P184" s="243">
        <f t="shared" si="147"/>
        <v>15</v>
      </c>
      <c r="Q184" s="243">
        <f t="shared" si="156"/>
        <v>6.666666666666667</v>
      </c>
      <c r="R184" s="243">
        <f t="shared" si="157"/>
        <v>6.666666666666667</v>
      </c>
      <c r="S184" s="243">
        <f t="shared" si="158"/>
        <v>10</v>
      </c>
      <c r="T184" s="243"/>
      <c r="U184" s="243"/>
      <c r="V184" s="243"/>
      <c r="W184" s="243">
        <f t="shared" si="159"/>
        <v>34.81481481481481</v>
      </c>
      <c r="X184" s="243"/>
      <c r="Y184" s="243">
        <f t="shared" si="148"/>
        <v>0</v>
      </c>
      <c r="Z184" s="243">
        <f t="shared" si="149"/>
        <v>-47.437698877943639</v>
      </c>
      <c r="AA184" s="243">
        <f t="shared" si="150"/>
        <v>-46.931531603912077</v>
      </c>
    </row>
    <row r="185" spans="1:27">
      <c r="A185" s="243">
        <v>15</v>
      </c>
      <c r="B185" s="243">
        <v>0</v>
      </c>
      <c r="C185" s="243">
        <v>58</v>
      </c>
      <c r="D185" s="243">
        <v>115</v>
      </c>
      <c r="E185" s="243">
        <f t="shared" si="145"/>
        <v>1.9827586206896552</v>
      </c>
      <c r="F185" s="243">
        <f t="shared" si="146"/>
        <v>0.17391304347826086</v>
      </c>
      <c r="G185" s="243">
        <f t="shared" si="151"/>
        <v>5.75</v>
      </c>
      <c r="H185" s="243">
        <f t="shared" si="152"/>
        <v>13.529411764705884</v>
      </c>
      <c r="I185" s="243">
        <f t="shared" si="153"/>
        <v>7.3913043478260859E-2</v>
      </c>
      <c r="J185" s="243">
        <f t="shared" si="154"/>
        <v>7.391304347826086</v>
      </c>
      <c r="K185" s="243"/>
      <c r="L185" s="243">
        <f t="shared" si="155"/>
        <v>13.5</v>
      </c>
      <c r="M185" s="243">
        <v>7.4074074074074066</v>
      </c>
      <c r="N185" s="243"/>
      <c r="O185" s="243"/>
      <c r="P185" s="243">
        <f t="shared" si="147"/>
        <v>17.649999999999999</v>
      </c>
      <c r="Q185" s="243">
        <f t="shared" si="156"/>
        <v>5.6657223796034</v>
      </c>
      <c r="R185" s="243">
        <f t="shared" si="157"/>
        <v>5.6657223796034</v>
      </c>
      <c r="S185" s="243">
        <f t="shared" si="158"/>
        <v>7.9051383399209483</v>
      </c>
      <c r="T185" s="243"/>
      <c r="U185" s="243"/>
      <c r="V185" s="243"/>
      <c r="W185" s="243">
        <f t="shared" si="159"/>
        <v>37.391304347826086</v>
      </c>
      <c r="X185" s="243"/>
      <c r="Y185" s="243">
        <f t="shared" si="148"/>
        <v>0</v>
      </c>
      <c r="Z185" s="243">
        <f t="shared" si="149"/>
        <v>-47.411933982613526</v>
      </c>
      <c r="AA185" s="243">
        <f t="shared" si="150"/>
        <v>-46.906279078659551</v>
      </c>
    </row>
    <row r="186" spans="1:27">
      <c r="A186" s="243">
        <v>20</v>
      </c>
      <c r="B186" s="243">
        <v>0</v>
      </c>
      <c r="C186" s="243">
        <v>50</v>
      </c>
      <c r="D186" s="243">
        <v>100</v>
      </c>
      <c r="E186" s="243">
        <f t="shared" si="145"/>
        <v>2</v>
      </c>
      <c r="F186" s="243">
        <f t="shared" si="146"/>
        <v>0.2</v>
      </c>
      <c r="G186" s="243">
        <f t="shared" si="151"/>
        <v>5</v>
      </c>
      <c r="H186" s="243">
        <f t="shared" si="152"/>
        <v>10</v>
      </c>
      <c r="I186" s="243">
        <f t="shared" si="153"/>
        <v>0.1</v>
      </c>
      <c r="J186" s="243">
        <f t="shared" si="154"/>
        <v>10</v>
      </c>
      <c r="K186" s="243"/>
      <c r="L186" s="243">
        <f t="shared" si="155"/>
        <v>16.000000000000004</v>
      </c>
      <c r="M186" s="243">
        <v>6.2499999999999991</v>
      </c>
      <c r="N186" s="243"/>
      <c r="O186" s="243"/>
      <c r="P186" s="243">
        <f t="shared" si="147"/>
        <v>20.3</v>
      </c>
      <c r="Q186" s="243">
        <f t="shared" si="156"/>
        <v>4.9261083743842367</v>
      </c>
      <c r="R186" s="243">
        <f t="shared" si="157"/>
        <v>4.9261083743842367</v>
      </c>
      <c r="S186" s="243">
        <f t="shared" si="158"/>
        <v>6.5359477124183005</v>
      </c>
      <c r="T186" s="243"/>
      <c r="U186" s="243"/>
      <c r="V186" s="243"/>
      <c r="W186" s="243">
        <f t="shared" si="159"/>
        <v>40</v>
      </c>
      <c r="X186" s="243"/>
      <c r="Y186" s="243">
        <f t="shared" si="148"/>
        <v>0</v>
      </c>
      <c r="Z186" s="243">
        <f t="shared" si="149"/>
        <v>-47.385847026091788</v>
      </c>
      <c r="AA186" s="243">
        <f t="shared" si="150"/>
        <v>-46.877141549522023</v>
      </c>
    </row>
    <row r="187" spans="1:27">
      <c r="A187" s="243">
        <v>22.5</v>
      </c>
      <c r="B187" s="243">
        <v>0</v>
      </c>
      <c r="C187" s="243">
        <v>48</v>
      </c>
      <c r="D187" s="243">
        <v>94</v>
      </c>
      <c r="E187" s="243">
        <f t="shared" si="145"/>
        <v>1.9583333333333333</v>
      </c>
      <c r="F187" s="243">
        <f t="shared" si="146"/>
        <v>0.21276595744680851</v>
      </c>
      <c r="G187" s="243">
        <f t="shared" si="151"/>
        <v>4.7</v>
      </c>
      <c r="H187" s="243">
        <f t="shared" si="152"/>
        <v>8.8679245283018879</v>
      </c>
      <c r="I187" s="243">
        <f t="shared" si="153"/>
        <v>0.11276595744680849</v>
      </c>
      <c r="J187" s="243">
        <f t="shared" si="154"/>
        <v>11.276595744680849</v>
      </c>
      <c r="K187" s="243"/>
      <c r="L187" s="243">
        <f t="shared" si="155"/>
        <v>17.250000000000004</v>
      </c>
      <c r="M187" s="243">
        <v>5.7971014492753605</v>
      </c>
      <c r="N187" s="243"/>
      <c r="O187" s="243"/>
      <c r="P187" s="243">
        <f t="shared" si="147"/>
        <v>21.625</v>
      </c>
      <c r="Q187" s="243">
        <f t="shared" si="156"/>
        <v>4.6242774566473992</v>
      </c>
      <c r="R187" s="243">
        <f t="shared" si="157"/>
        <v>4.6242774566473992</v>
      </c>
      <c r="S187" s="243">
        <f t="shared" si="158"/>
        <v>6.0150375939849621</v>
      </c>
      <c r="T187" s="243"/>
      <c r="U187" s="243"/>
      <c r="V187" s="243"/>
      <c r="W187" s="243">
        <f t="shared" si="159"/>
        <v>41.276595744680847</v>
      </c>
      <c r="X187" s="243"/>
      <c r="Y187" s="243">
        <f t="shared" si="148"/>
        <v>0</v>
      </c>
      <c r="Z187" s="243">
        <f t="shared" si="149"/>
        <v>-47.373081068644979</v>
      </c>
      <c r="AA187" s="243">
        <f t="shared" si="150"/>
        <v>-46.855774028154499</v>
      </c>
    </row>
    <row r="188" spans="1:27">
      <c r="A188" s="243">
        <v>30</v>
      </c>
      <c r="B188" s="243">
        <v>0</v>
      </c>
      <c r="C188" s="243">
        <v>39</v>
      </c>
      <c r="D188" s="243">
        <v>77</v>
      </c>
      <c r="E188" s="243">
        <f t="shared" si="145"/>
        <v>1.9743589743589745</v>
      </c>
      <c r="F188" s="243">
        <f t="shared" si="146"/>
        <v>0.25974025974025972</v>
      </c>
      <c r="G188" s="243">
        <f t="shared" si="151"/>
        <v>3.8500000000000005</v>
      </c>
      <c r="H188" s="243">
        <f t="shared" si="152"/>
        <v>6.2601626016260177</v>
      </c>
      <c r="I188" s="243">
        <f t="shared" si="153"/>
        <v>0.15974025974025971</v>
      </c>
      <c r="J188" s="243">
        <f t="shared" si="154"/>
        <v>15.97402597402597</v>
      </c>
      <c r="K188" s="243"/>
      <c r="L188" s="243">
        <f t="shared" si="155"/>
        <v>21</v>
      </c>
      <c r="M188" s="243">
        <v>4.7619047619047619</v>
      </c>
      <c r="N188" s="243"/>
      <c r="O188" s="243"/>
      <c r="P188" s="243">
        <f t="shared" si="147"/>
        <v>25.6</v>
      </c>
      <c r="Q188" s="243">
        <f t="shared" si="156"/>
        <v>3.90625</v>
      </c>
      <c r="R188" s="243">
        <f t="shared" si="157"/>
        <v>3.90625</v>
      </c>
      <c r="S188" s="243">
        <f t="shared" si="158"/>
        <v>4.8543689320388346</v>
      </c>
      <c r="T188" s="243"/>
      <c r="U188" s="243"/>
      <c r="V188" s="243"/>
      <c r="W188" s="243">
        <f t="shared" si="159"/>
        <v>45.97402597402597</v>
      </c>
      <c r="X188" s="243"/>
      <c r="Y188" s="243">
        <f t="shared" si="148"/>
        <v>0</v>
      </c>
      <c r="Z188" s="243">
        <f t="shared" si="149"/>
        <v>-47.326106766351529</v>
      </c>
      <c r="AA188" s="243">
        <f t="shared" si="150"/>
        <v>-46.800218472598942</v>
      </c>
    </row>
    <row r="189" spans="1:27">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row>
    <row r="190" spans="1:27">
      <c r="A190" s="243" t="s">
        <v>734</v>
      </c>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row>
    <row r="191" spans="1:27">
      <c r="A191" s="243" t="s">
        <v>727</v>
      </c>
      <c r="B191" s="243">
        <v>0</v>
      </c>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row>
    <row r="192" spans="1:27">
      <c r="A192" s="243">
        <v>5</v>
      </c>
      <c r="B192" s="243">
        <v>0</v>
      </c>
      <c r="C192" s="243">
        <v>55</v>
      </c>
      <c r="D192" s="243">
        <v>110</v>
      </c>
      <c r="E192" s="243">
        <f t="shared" ref="E192:E198" si="160">D192/C192</f>
        <v>2</v>
      </c>
      <c r="F192" s="243">
        <f t="shared" ref="F192:F198" si="161">20/D192</f>
        <v>0.18181818181818182</v>
      </c>
      <c r="G192" s="243"/>
      <c r="H192" s="243"/>
      <c r="I192" s="243"/>
      <c r="J192" s="243"/>
      <c r="K192" s="243"/>
      <c r="L192" s="243"/>
      <c r="M192" s="243"/>
      <c r="N192" s="243"/>
      <c r="O192" s="243"/>
      <c r="P192" s="243"/>
      <c r="Q192" s="243"/>
      <c r="R192" s="243"/>
      <c r="S192" s="243"/>
      <c r="T192" s="243"/>
      <c r="U192" s="243"/>
      <c r="V192" s="243"/>
      <c r="W192" s="243"/>
      <c r="X192" s="243"/>
      <c r="Y192" s="243"/>
      <c r="Z192" s="243"/>
      <c r="AA192" s="243"/>
    </row>
    <row r="193" spans="1:27">
      <c r="A193" s="243">
        <v>7.5</v>
      </c>
      <c r="B193" s="243">
        <v>0</v>
      </c>
      <c r="C193" s="243">
        <v>51</v>
      </c>
      <c r="D193" s="243">
        <v>102</v>
      </c>
      <c r="E193" s="243">
        <f t="shared" si="160"/>
        <v>2</v>
      </c>
      <c r="F193" s="243">
        <f t="shared" si="161"/>
        <v>0.19607843137254902</v>
      </c>
      <c r="G193" s="243"/>
      <c r="H193" s="244" t="s">
        <v>735</v>
      </c>
      <c r="I193" s="243"/>
      <c r="J193" s="243"/>
      <c r="K193" s="243"/>
      <c r="L193" s="243"/>
      <c r="M193" s="243"/>
      <c r="N193" s="243"/>
      <c r="O193" s="243"/>
      <c r="P193" s="243"/>
      <c r="R193" s="244"/>
      <c r="S193" s="244"/>
      <c r="T193" s="244"/>
      <c r="U193" s="244"/>
      <c r="V193" s="244"/>
      <c r="W193" s="244"/>
      <c r="X193" s="243"/>
      <c r="Y193" s="243"/>
      <c r="Z193" s="243"/>
      <c r="AA193" s="243"/>
    </row>
    <row r="194" spans="1:27">
      <c r="A194" s="243">
        <v>10</v>
      </c>
      <c r="B194" s="243">
        <v>0</v>
      </c>
      <c r="C194" s="243">
        <v>49</v>
      </c>
      <c r="D194" s="243">
        <v>99</v>
      </c>
      <c r="E194" s="243">
        <f t="shared" si="160"/>
        <v>2.0204081632653059</v>
      </c>
      <c r="F194" s="243">
        <f t="shared" si="161"/>
        <v>0.20202020202020202</v>
      </c>
      <c r="G194" s="243"/>
      <c r="H194" s="244" t="s">
        <v>736</v>
      </c>
      <c r="I194" s="243"/>
      <c r="J194" s="243"/>
      <c r="K194" s="243"/>
      <c r="L194" s="243"/>
      <c r="M194" s="243"/>
      <c r="N194" s="243"/>
      <c r="O194" s="243"/>
      <c r="P194" s="243"/>
      <c r="R194" s="244"/>
      <c r="S194" s="244"/>
      <c r="T194" s="244"/>
      <c r="U194" s="244"/>
      <c r="V194" s="244"/>
      <c r="W194" s="244"/>
      <c r="X194" s="243"/>
      <c r="Y194" s="243"/>
      <c r="Z194" s="243"/>
      <c r="AA194" s="243"/>
    </row>
    <row r="195" spans="1:27">
      <c r="A195" s="243">
        <v>15</v>
      </c>
      <c r="B195" s="243">
        <v>0</v>
      </c>
      <c r="C195" s="243">
        <v>43</v>
      </c>
      <c r="D195" s="243">
        <v>88</v>
      </c>
      <c r="E195" s="243">
        <f t="shared" si="160"/>
        <v>2.0465116279069768</v>
      </c>
      <c r="F195" s="243">
        <f t="shared" si="161"/>
        <v>0.22727272727272727</v>
      </c>
      <c r="G195" s="243"/>
      <c r="H195" s="244" t="s">
        <v>737</v>
      </c>
      <c r="I195" s="243"/>
      <c r="J195" s="243"/>
      <c r="K195" s="243"/>
      <c r="L195" s="243"/>
      <c r="M195" s="243"/>
      <c r="N195" s="243"/>
      <c r="O195" s="243"/>
      <c r="P195" s="243"/>
      <c r="R195" s="244"/>
      <c r="S195" s="244"/>
      <c r="T195" s="244"/>
      <c r="U195" s="244"/>
      <c r="V195" s="244"/>
      <c r="W195" s="244"/>
      <c r="X195" s="243"/>
      <c r="Y195" s="243"/>
      <c r="Z195" s="243"/>
      <c r="AA195" s="243"/>
    </row>
    <row r="196" spans="1:27">
      <c r="A196" s="243">
        <v>20</v>
      </c>
      <c r="B196" s="243">
        <v>0</v>
      </c>
      <c r="C196" s="243">
        <v>39</v>
      </c>
      <c r="D196" s="243">
        <v>78</v>
      </c>
      <c r="E196" s="243">
        <f t="shared" si="160"/>
        <v>2</v>
      </c>
      <c r="F196" s="243">
        <f t="shared" si="161"/>
        <v>0.25641025641025639</v>
      </c>
      <c r="G196" s="243"/>
      <c r="H196" s="244"/>
      <c r="I196" s="243"/>
      <c r="J196" s="243"/>
      <c r="K196" s="243"/>
      <c r="L196" s="243"/>
      <c r="M196" s="243"/>
      <c r="N196" s="243"/>
      <c r="O196" s="243"/>
      <c r="P196" s="243"/>
      <c r="R196" s="244"/>
      <c r="S196" s="244"/>
      <c r="T196" s="244"/>
      <c r="U196" s="244"/>
      <c r="V196" s="244"/>
      <c r="W196" s="244"/>
      <c r="X196" s="243"/>
      <c r="Y196" s="243"/>
      <c r="Z196" s="243"/>
      <c r="AA196" s="243"/>
    </row>
    <row r="197" spans="1:27">
      <c r="A197" s="243">
        <v>22.5</v>
      </c>
      <c r="B197" s="243">
        <v>0</v>
      </c>
      <c r="C197" s="243">
        <v>36</v>
      </c>
      <c r="D197" s="243">
        <v>72</v>
      </c>
      <c r="E197" s="243">
        <f t="shared" si="160"/>
        <v>2</v>
      </c>
      <c r="F197" s="243">
        <f t="shared" si="161"/>
        <v>0.27777777777777779</v>
      </c>
      <c r="G197" s="243"/>
      <c r="H197" s="244" t="s">
        <v>738</v>
      </c>
      <c r="I197" s="243"/>
      <c r="J197" s="243"/>
      <c r="K197" s="243"/>
      <c r="L197" s="243"/>
      <c r="M197" s="243"/>
      <c r="N197" s="243"/>
      <c r="O197" s="243"/>
      <c r="P197" s="243"/>
      <c r="R197" s="244"/>
      <c r="S197" s="244"/>
      <c r="T197" s="244"/>
      <c r="U197" s="244"/>
      <c r="V197" s="244"/>
      <c r="W197" s="244"/>
      <c r="X197" s="243"/>
      <c r="Y197" s="243"/>
      <c r="Z197" s="243"/>
      <c r="AA197" s="243"/>
    </row>
    <row r="198" spans="1:27">
      <c r="A198" s="243">
        <v>30</v>
      </c>
      <c r="B198" s="243">
        <v>0</v>
      </c>
      <c r="C198" s="243">
        <v>30</v>
      </c>
      <c r="D198" s="243">
        <v>60</v>
      </c>
      <c r="E198" s="243">
        <f t="shared" si="160"/>
        <v>2</v>
      </c>
      <c r="F198" s="243">
        <f t="shared" si="161"/>
        <v>0.33333333333333331</v>
      </c>
      <c r="G198" s="243"/>
      <c r="H198" s="244" t="s">
        <v>739</v>
      </c>
      <c r="I198" s="243"/>
      <c r="J198" s="243"/>
      <c r="K198" s="243"/>
      <c r="L198" s="243"/>
      <c r="M198" s="243"/>
      <c r="N198" s="243"/>
      <c r="O198" s="243"/>
      <c r="P198" s="243"/>
      <c r="R198" s="244"/>
      <c r="S198" s="244"/>
      <c r="T198" s="244"/>
      <c r="U198" s="244"/>
      <c r="V198" s="244"/>
      <c r="W198" s="244"/>
      <c r="X198" s="243"/>
      <c r="Y198" s="243"/>
      <c r="Z198" s="243"/>
      <c r="AA198" s="243"/>
    </row>
    <row r="199" spans="1:27">
      <c r="A199" s="243"/>
      <c r="B199" s="243"/>
      <c r="C199" s="243"/>
      <c r="D199" s="243"/>
      <c r="E199" s="243"/>
      <c r="F199" s="243"/>
      <c r="G199" s="243"/>
      <c r="H199" s="243"/>
      <c r="I199" s="243"/>
      <c r="J199" s="243"/>
      <c r="K199" s="243"/>
      <c r="L199" s="243"/>
      <c r="M199" s="243"/>
      <c r="N199" s="243"/>
      <c r="O199" s="243"/>
      <c r="P199" s="243"/>
      <c r="R199" s="243"/>
      <c r="S199" s="243"/>
      <c r="T199" s="243"/>
      <c r="U199" s="243"/>
      <c r="V199" s="243"/>
      <c r="W199" s="243"/>
      <c r="X199" s="243"/>
      <c r="Y199" s="243"/>
      <c r="Z199" s="243"/>
      <c r="AA199" s="243"/>
    </row>
    <row r="200" spans="1:27">
      <c r="A200" s="243" t="s">
        <v>740</v>
      </c>
      <c r="B200" s="243"/>
      <c r="C200" s="243"/>
      <c r="D200" s="243"/>
      <c r="E200" s="243"/>
      <c r="F200" s="243"/>
      <c r="G200" s="243"/>
      <c r="H200" s="244" t="s">
        <v>741</v>
      </c>
      <c r="I200" s="243"/>
      <c r="J200" s="243"/>
      <c r="K200" s="243"/>
      <c r="L200" s="243"/>
      <c r="M200" s="243"/>
      <c r="N200" s="243"/>
      <c r="O200" s="243"/>
      <c r="P200" s="243"/>
      <c r="R200" s="244"/>
      <c r="S200" s="244"/>
      <c r="T200" s="244"/>
      <c r="U200" s="244"/>
      <c r="V200" s="244"/>
      <c r="W200" s="244"/>
      <c r="X200" s="243"/>
      <c r="Y200" s="243"/>
      <c r="Z200" s="243"/>
      <c r="AA200" s="243"/>
    </row>
    <row r="201" spans="1:27">
      <c r="A201" s="243" t="s">
        <v>727</v>
      </c>
      <c r="B201" s="243">
        <v>0</v>
      </c>
      <c r="C201" s="243"/>
      <c r="D201" s="243"/>
      <c r="E201" s="243"/>
      <c r="F201" s="243"/>
      <c r="G201" s="243"/>
      <c r="H201" s="244" t="s">
        <v>742</v>
      </c>
      <c r="I201" s="243"/>
      <c r="J201" s="243"/>
      <c r="K201" s="243"/>
      <c r="L201" s="243"/>
      <c r="M201" s="243"/>
      <c r="N201" s="243"/>
      <c r="O201" s="243"/>
      <c r="P201" s="243"/>
      <c r="R201" s="244"/>
      <c r="S201" s="244"/>
      <c r="T201" s="244"/>
      <c r="U201" s="244"/>
      <c r="V201" s="244"/>
      <c r="W201" s="244"/>
      <c r="X201" s="243"/>
      <c r="Y201" s="243"/>
      <c r="Z201" s="243"/>
      <c r="AA201" s="243"/>
    </row>
    <row r="202" spans="1:27">
      <c r="A202" s="243">
        <v>5</v>
      </c>
      <c r="B202" s="243">
        <v>0</v>
      </c>
      <c r="C202" s="243">
        <v>43</v>
      </c>
      <c r="D202" s="243">
        <v>87</v>
      </c>
      <c r="E202" s="243">
        <f t="shared" ref="E202:E208" si="162">D202/C202</f>
        <v>2.0232558139534884</v>
      </c>
      <c r="F202" s="243">
        <f t="shared" ref="F202:F208" si="163">20/D202</f>
        <v>0.22988505747126436</v>
      </c>
      <c r="G202" s="243"/>
      <c r="H202" s="243"/>
      <c r="I202" s="243"/>
      <c r="J202" s="243"/>
      <c r="K202" s="243"/>
      <c r="L202" s="243"/>
      <c r="M202" s="243"/>
      <c r="N202" s="243"/>
      <c r="O202" s="243"/>
      <c r="P202" s="243"/>
      <c r="R202" s="243"/>
      <c r="S202" s="243"/>
      <c r="T202" s="243"/>
      <c r="U202" s="243"/>
      <c r="V202" s="243"/>
      <c r="W202" s="243"/>
      <c r="X202" s="243"/>
      <c r="Y202" s="243"/>
      <c r="Z202" s="243"/>
      <c r="AA202" s="243"/>
    </row>
    <row r="203" spans="1:27">
      <c r="A203" s="243">
        <v>7.5</v>
      </c>
      <c r="B203" s="243">
        <v>0</v>
      </c>
      <c r="C203" s="243">
        <v>40</v>
      </c>
      <c r="D203" s="243">
        <v>81</v>
      </c>
      <c r="E203" s="243">
        <f t="shared" si="162"/>
        <v>2.0249999999999999</v>
      </c>
      <c r="F203" s="243">
        <f t="shared" si="163"/>
        <v>0.24691358024691357</v>
      </c>
      <c r="G203" s="243"/>
      <c r="H203" s="244" t="s">
        <v>743</v>
      </c>
      <c r="I203" s="243"/>
      <c r="J203" s="243"/>
      <c r="K203" s="243"/>
      <c r="L203" s="243"/>
      <c r="M203" s="243"/>
      <c r="N203" s="243"/>
      <c r="O203" s="243"/>
      <c r="P203" s="243"/>
      <c r="R203" s="244"/>
      <c r="S203" s="244"/>
      <c r="T203" s="244"/>
      <c r="U203" s="244"/>
      <c r="V203" s="244"/>
      <c r="W203" s="244"/>
      <c r="X203" s="243"/>
      <c r="Y203" s="243"/>
      <c r="Z203" s="243"/>
      <c r="AA203" s="243"/>
    </row>
    <row r="204" spans="1:27">
      <c r="A204" s="243">
        <v>10</v>
      </c>
      <c r="B204" s="243">
        <v>0</v>
      </c>
      <c r="C204" s="243">
        <v>38</v>
      </c>
      <c r="D204" s="243">
        <v>78</v>
      </c>
      <c r="E204" s="243">
        <f t="shared" si="162"/>
        <v>2.0526315789473686</v>
      </c>
      <c r="F204" s="243">
        <f t="shared" si="163"/>
        <v>0.25641025641025639</v>
      </c>
      <c r="G204" s="243"/>
      <c r="H204" s="243"/>
      <c r="I204" s="243"/>
      <c r="J204" s="243"/>
      <c r="K204" s="243"/>
      <c r="L204" s="243"/>
      <c r="M204" s="243"/>
      <c r="N204" s="243"/>
      <c r="O204" s="243"/>
      <c r="P204" s="243"/>
      <c r="Q204" s="243"/>
      <c r="R204" s="243"/>
      <c r="S204" s="243"/>
      <c r="T204" s="243"/>
      <c r="U204" s="243"/>
      <c r="V204" s="243"/>
      <c r="W204" s="243"/>
      <c r="X204" s="243"/>
      <c r="Y204" s="243"/>
      <c r="Z204" s="243"/>
      <c r="AA204" s="243"/>
    </row>
    <row r="205" spans="1:27">
      <c r="A205" s="243">
        <v>15</v>
      </c>
      <c r="B205" s="243">
        <v>0</v>
      </c>
      <c r="C205" s="243">
        <v>35</v>
      </c>
      <c r="D205" s="243">
        <v>70</v>
      </c>
      <c r="E205" s="243">
        <f t="shared" si="162"/>
        <v>2</v>
      </c>
      <c r="F205" s="243">
        <f t="shared" si="163"/>
        <v>0.2857142857142857</v>
      </c>
      <c r="G205" s="243"/>
      <c r="H205" s="243"/>
      <c r="I205" s="243"/>
      <c r="J205" s="243"/>
      <c r="K205" s="243"/>
      <c r="L205" s="243"/>
      <c r="M205" s="243"/>
      <c r="N205" s="243"/>
      <c r="O205" s="243"/>
      <c r="P205" s="243"/>
      <c r="Q205" s="243"/>
      <c r="R205" s="243"/>
      <c r="S205" s="243"/>
      <c r="T205" s="243"/>
      <c r="U205" s="243"/>
      <c r="V205" s="243"/>
      <c r="W205" s="243"/>
      <c r="X205" s="243"/>
      <c r="Y205" s="243"/>
      <c r="Z205" s="243"/>
      <c r="AA205" s="243"/>
    </row>
    <row r="206" spans="1:27">
      <c r="A206" s="243">
        <v>20</v>
      </c>
      <c r="B206" s="243">
        <v>0</v>
      </c>
      <c r="C206" s="243">
        <v>31</v>
      </c>
      <c r="D206" s="243">
        <v>63</v>
      </c>
      <c r="E206" s="243">
        <f t="shared" si="162"/>
        <v>2.032258064516129</v>
      </c>
      <c r="F206" s="243">
        <f t="shared" si="163"/>
        <v>0.31746031746031744</v>
      </c>
      <c r="G206" s="243"/>
      <c r="H206" s="244" t="s">
        <v>745</v>
      </c>
      <c r="I206" s="243"/>
      <c r="J206" s="243"/>
      <c r="K206" s="243"/>
      <c r="L206" s="243"/>
      <c r="M206" s="243"/>
      <c r="N206" s="243"/>
      <c r="O206" s="243"/>
      <c r="P206" s="243"/>
      <c r="Q206" s="243"/>
      <c r="R206" s="243"/>
      <c r="S206" s="243"/>
      <c r="T206" s="243"/>
      <c r="U206" s="243"/>
      <c r="V206" s="243"/>
      <c r="W206" s="243"/>
      <c r="X206" s="243"/>
      <c r="Y206" s="243"/>
      <c r="Z206" s="243"/>
      <c r="AA206" s="243"/>
    </row>
    <row r="207" spans="1:27">
      <c r="A207" s="243">
        <v>22.5</v>
      </c>
      <c r="B207" s="243">
        <v>0</v>
      </c>
      <c r="C207" s="243">
        <v>29</v>
      </c>
      <c r="D207" s="243">
        <v>59</v>
      </c>
      <c r="E207" s="243">
        <f t="shared" si="162"/>
        <v>2.0344827586206895</v>
      </c>
      <c r="F207" s="243">
        <f t="shared" si="163"/>
        <v>0.33898305084745761</v>
      </c>
      <c r="G207" s="243"/>
      <c r="H207" s="243" t="s">
        <v>746</v>
      </c>
      <c r="I207" s="243"/>
      <c r="J207" s="243"/>
      <c r="K207" s="243"/>
      <c r="L207" s="243"/>
      <c r="M207" s="243"/>
      <c r="N207" s="243"/>
      <c r="O207" s="243"/>
      <c r="P207" s="243"/>
      <c r="Q207" s="243"/>
      <c r="R207" s="243"/>
      <c r="S207" s="243"/>
      <c r="T207" s="243"/>
      <c r="U207" s="243"/>
      <c r="V207" s="243"/>
      <c r="W207" s="243"/>
      <c r="X207" s="243"/>
      <c r="Y207" s="243"/>
      <c r="Z207" s="243"/>
      <c r="AA207" s="243"/>
    </row>
    <row r="208" spans="1:27">
      <c r="A208" s="243">
        <v>30</v>
      </c>
      <c r="B208" s="243">
        <v>0</v>
      </c>
      <c r="C208" s="243">
        <v>26</v>
      </c>
      <c r="D208" s="243">
        <v>51</v>
      </c>
      <c r="E208" s="243">
        <f t="shared" si="162"/>
        <v>1.9615384615384615</v>
      </c>
      <c r="F208" s="243">
        <f t="shared" si="163"/>
        <v>0.39215686274509803</v>
      </c>
      <c r="G208" s="243"/>
      <c r="H208" s="243"/>
      <c r="I208" s="243"/>
      <c r="J208" s="243"/>
      <c r="K208" s="243"/>
      <c r="L208" s="243"/>
      <c r="M208" s="243"/>
      <c r="N208" s="243"/>
      <c r="O208" s="243"/>
      <c r="P208" s="243"/>
      <c r="Q208" s="243"/>
      <c r="R208" s="243"/>
      <c r="S208" s="243"/>
      <c r="T208" s="243"/>
      <c r="U208" s="243"/>
      <c r="V208" s="243"/>
      <c r="W208" s="243"/>
      <c r="X208" s="243"/>
      <c r="Y208" s="243"/>
      <c r="Z208" s="243"/>
      <c r="AA208" s="243"/>
    </row>
    <row r="209" spans="1:27" ht="75">
      <c r="A209" s="243"/>
      <c r="B209" s="243"/>
      <c r="C209" s="243"/>
      <c r="D209" s="243"/>
      <c r="E209" s="243"/>
      <c r="F209" s="243"/>
      <c r="G209" s="243"/>
      <c r="H209" s="355" t="s">
        <v>747</v>
      </c>
      <c r="I209" s="254" t="s">
        <v>748</v>
      </c>
      <c r="J209" s="254" t="s">
        <v>749</v>
      </c>
      <c r="K209" s="254" t="s">
        <v>750</v>
      </c>
      <c r="L209" s="254" t="s">
        <v>751</v>
      </c>
      <c r="M209" s="243"/>
      <c r="N209" s="243"/>
      <c r="O209" s="243"/>
      <c r="P209" s="243"/>
      <c r="Q209" s="243"/>
      <c r="R209" s="243"/>
      <c r="S209" s="243"/>
      <c r="T209" s="243"/>
      <c r="U209" s="243"/>
      <c r="V209" s="243"/>
      <c r="W209" s="243"/>
      <c r="X209" s="243"/>
      <c r="Y209" s="243"/>
      <c r="Z209" s="243"/>
      <c r="AA209" s="243"/>
    </row>
    <row r="210" spans="1:27" ht="32.25">
      <c r="A210" s="243" t="s">
        <v>744</v>
      </c>
      <c r="B210" s="243"/>
      <c r="C210" s="243"/>
      <c r="D210" s="243"/>
      <c r="E210" s="243"/>
      <c r="F210" s="243"/>
      <c r="G210" s="243"/>
      <c r="H210" s="356"/>
      <c r="I210" s="255" t="s">
        <v>270</v>
      </c>
      <c r="J210" s="255" t="s">
        <v>752</v>
      </c>
      <c r="K210" s="255" t="s">
        <v>753</v>
      </c>
      <c r="L210" s="255" t="s">
        <v>754</v>
      </c>
      <c r="M210" s="243"/>
      <c r="N210" s="243"/>
      <c r="O210" s="243"/>
      <c r="P210" s="243"/>
      <c r="Q210" s="243"/>
      <c r="R210" s="243"/>
      <c r="S210" s="243"/>
      <c r="T210" s="243"/>
      <c r="U210" s="243"/>
      <c r="V210" s="243"/>
      <c r="W210" s="243"/>
      <c r="X210" s="243"/>
      <c r="Y210" s="243"/>
      <c r="Z210" s="243"/>
      <c r="AA210" s="243"/>
    </row>
    <row r="211" spans="1:27" ht="30">
      <c r="A211" s="243" t="s">
        <v>727</v>
      </c>
      <c r="B211" s="243">
        <v>0</v>
      </c>
      <c r="C211" s="243"/>
      <c r="D211" s="243"/>
      <c r="E211" s="243"/>
      <c r="F211" s="243"/>
      <c r="G211" s="243"/>
      <c r="H211" s="256" t="s">
        <v>452</v>
      </c>
      <c r="I211" s="256">
        <v>10</v>
      </c>
      <c r="J211" s="257">
        <v>1.7</v>
      </c>
      <c r="K211" s="256">
        <v>920</v>
      </c>
      <c r="L211" s="256">
        <v>2300</v>
      </c>
      <c r="M211" s="243"/>
      <c r="N211" s="243"/>
      <c r="O211" s="243"/>
      <c r="P211" s="243"/>
      <c r="Q211" s="243"/>
      <c r="R211" s="243"/>
      <c r="S211" s="243"/>
      <c r="T211" s="243"/>
      <c r="U211" s="243"/>
      <c r="V211" s="243"/>
      <c r="W211" s="243"/>
      <c r="X211" s="243"/>
      <c r="Y211" s="243"/>
      <c r="Z211" s="243"/>
      <c r="AA211" s="243"/>
    </row>
    <row r="212" spans="1:27">
      <c r="A212" s="243">
        <v>5</v>
      </c>
      <c r="B212" s="243">
        <v>0</v>
      </c>
      <c r="C212" s="243">
        <f t="shared" ref="C212:C218" si="164">D212/2</f>
        <v>35</v>
      </c>
      <c r="D212" s="243">
        <v>70</v>
      </c>
      <c r="E212" s="243"/>
      <c r="F212" s="243">
        <f t="shared" ref="F212:F218" si="165">20/D212</f>
        <v>0.2857142857142857</v>
      </c>
      <c r="G212" s="243"/>
      <c r="H212" s="256" t="s">
        <v>755</v>
      </c>
      <c r="I212" s="256">
        <v>150</v>
      </c>
      <c r="J212" s="257">
        <v>0.8</v>
      </c>
      <c r="K212" s="256">
        <v>800</v>
      </c>
      <c r="L212" s="256">
        <v>1700</v>
      </c>
      <c r="M212" s="243"/>
      <c r="N212" s="243"/>
      <c r="O212" s="243"/>
      <c r="P212" s="243"/>
      <c r="Q212" s="243"/>
      <c r="R212" s="243"/>
      <c r="S212" s="243"/>
      <c r="T212" s="243"/>
      <c r="U212" s="243"/>
      <c r="V212" s="243"/>
      <c r="W212" s="243"/>
      <c r="X212" s="243"/>
      <c r="Y212" s="243"/>
      <c r="Z212" s="243"/>
      <c r="AA212" s="243"/>
    </row>
    <row r="213" spans="1:27" ht="30">
      <c r="A213" s="243">
        <v>7.5</v>
      </c>
      <c r="B213" s="243">
        <v>0</v>
      </c>
      <c r="C213" s="243">
        <f t="shared" si="164"/>
        <v>33.5</v>
      </c>
      <c r="D213" s="243">
        <v>67</v>
      </c>
      <c r="E213" s="243"/>
      <c r="F213" s="243">
        <f t="shared" si="165"/>
        <v>0.29850746268656714</v>
      </c>
      <c r="G213" s="243"/>
      <c r="H213" s="256" t="s">
        <v>452</v>
      </c>
      <c r="I213" s="256">
        <v>10</v>
      </c>
      <c r="J213" s="257">
        <v>1.7</v>
      </c>
      <c r="K213" s="256">
        <v>920</v>
      </c>
      <c r="L213" s="256">
        <v>2300</v>
      </c>
      <c r="M213" s="243"/>
      <c r="N213" s="243"/>
      <c r="O213" s="243"/>
      <c r="P213" s="243"/>
      <c r="Q213" s="243"/>
      <c r="R213" s="243"/>
      <c r="S213" s="243"/>
      <c r="T213" s="243"/>
      <c r="U213" s="243"/>
      <c r="V213" s="243"/>
      <c r="W213" s="243"/>
      <c r="X213" s="243"/>
      <c r="Y213" s="243"/>
      <c r="Z213" s="243"/>
      <c r="AA213" s="243"/>
    </row>
    <row r="214" spans="1:27">
      <c r="A214" s="243">
        <v>10</v>
      </c>
      <c r="B214" s="243">
        <v>0</v>
      </c>
      <c r="C214" s="243">
        <f t="shared" si="164"/>
        <v>32</v>
      </c>
      <c r="D214" s="243">
        <v>64</v>
      </c>
      <c r="E214" s="243"/>
      <c r="F214" s="243">
        <f t="shared" si="165"/>
        <v>0.3125</v>
      </c>
      <c r="G214" s="243"/>
      <c r="H214" s="243"/>
      <c r="I214" s="243"/>
      <c r="J214" s="243"/>
      <c r="K214" s="243"/>
      <c r="L214" s="243"/>
      <c r="M214" s="243"/>
      <c r="N214" s="243"/>
      <c r="O214" s="243"/>
      <c r="P214" s="243"/>
      <c r="Q214" s="243"/>
      <c r="R214" s="243"/>
      <c r="S214" s="243"/>
      <c r="T214" s="243"/>
      <c r="U214" s="243"/>
      <c r="V214" s="243"/>
      <c r="W214" s="243"/>
      <c r="X214" s="243"/>
      <c r="Y214" s="243"/>
      <c r="Z214" s="243"/>
      <c r="AA214" s="243"/>
    </row>
    <row r="215" spans="1:27">
      <c r="A215" s="243">
        <v>15</v>
      </c>
      <c r="B215" s="243">
        <v>0</v>
      </c>
      <c r="C215" s="243">
        <f t="shared" si="164"/>
        <v>29.5</v>
      </c>
      <c r="D215" s="243">
        <v>59</v>
      </c>
      <c r="E215" s="243"/>
      <c r="F215" s="243">
        <f t="shared" si="165"/>
        <v>0.33898305084745761</v>
      </c>
      <c r="G215" s="243"/>
      <c r="H215" s="243"/>
      <c r="I215" s="243"/>
      <c r="J215" s="243"/>
      <c r="K215" s="243"/>
      <c r="L215" s="243"/>
      <c r="M215" s="243"/>
      <c r="N215" s="243"/>
      <c r="O215" s="243"/>
      <c r="P215" s="243"/>
      <c r="Q215" s="243"/>
      <c r="R215" s="243"/>
      <c r="S215" s="243"/>
      <c r="T215" s="243"/>
      <c r="U215" s="243"/>
      <c r="V215" s="243"/>
      <c r="W215" s="243"/>
      <c r="X215" s="243"/>
      <c r="Y215" s="243"/>
      <c r="Z215" s="243"/>
      <c r="AA215" s="243"/>
    </row>
    <row r="216" spans="1:27">
      <c r="A216" s="243">
        <v>20</v>
      </c>
      <c r="B216" s="243">
        <v>0</v>
      </c>
      <c r="C216" s="243">
        <f t="shared" si="164"/>
        <v>26.5</v>
      </c>
      <c r="D216" s="243">
        <v>53</v>
      </c>
      <c r="E216" s="243"/>
      <c r="F216" s="243">
        <f t="shared" si="165"/>
        <v>0.37735849056603776</v>
      </c>
      <c r="G216" s="243"/>
      <c r="H216" s="243"/>
      <c r="I216" s="243"/>
      <c r="J216" s="243"/>
      <c r="K216" s="243"/>
      <c r="L216" s="243"/>
      <c r="M216" s="243"/>
      <c r="N216" s="243"/>
      <c r="O216" s="243"/>
      <c r="P216" s="243"/>
      <c r="Q216" s="243"/>
      <c r="R216" s="243"/>
      <c r="S216" s="243"/>
      <c r="T216" s="243"/>
      <c r="U216" s="243"/>
      <c r="V216" s="243"/>
      <c r="W216" s="243"/>
      <c r="X216" s="243"/>
      <c r="Y216" s="243"/>
      <c r="Z216" s="243"/>
      <c r="AA216" s="243"/>
    </row>
    <row r="217" spans="1:27">
      <c r="A217" s="243">
        <v>22.5</v>
      </c>
      <c r="B217" s="243">
        <v>0</v>
      </c>
      <c r="C217" s="243">
        <f t="shared" si="164"/>
        <v>25</v>
      </c>
      <c r="D217" s="243">
        <v>50</v>
      </c>
      <c r="E217" s="243"/>
      <c r="F217" s="243">
        <f t="shared" si="165"/>
        <v>0.4</v>
      </c>
      <c r="G217" s="243"/>
      <c r="H217" s="243"/>
      <c r="I217" s="243"/>
      <c r="J217" s="243"/>
      <c r="K217" s="243"/>
      <c r="L217" s="243"/>
      <c r="M217" s="243"/>
      <c r="N217" s="243"/>
      <c r="O217" s="243"/>
      <c r="P217" s="243"/>
      <c r="Q217" s="243"/>
      <c r="R217" s="243"/>
      <c r="S217" s="243"/>
      <c r="T217" s="243"/>
      <c r="U217" s="243"/>
      <c r="V217" s="243"/>
      <c r="W217" s="243"/>
      <c r="X217" s="243"/>
      <c r="Y217" s="243"/>
      <c r="Z217" s="243"/>
      <c r="AA217" s="243"/>
    </row>
    <row r="218" spans="1:27">
      <c r="A218" s="243">
        <v>30</v>
      </c>
      <c r="B218" s="243">
        <v>0</v>
      </c>
      <c r="C218" s="243">
        <f t="shared" si="164"/>
        <v>22</v>
      </c>
      <c r="D218" s="243">
        <v>44</v>
      </c>
      <c r="E218" s="243"/>
      <c r="F218" s="243">
        <f t="shared" si="165"/>
        <v>0.45454545454545453</v>
      </c>
      <c r="G218" s="243"/>
      <c r="H218" s="243"/>
      <c r="I218" s="243"/>
      <c r="J218" s="243"/>
      <c r="K218" s="243"/>
      <c r="L218" s="243"/>
      <c r="M218" s="243"/>
      <c r="N218" s="243"/>
      <c r="O218" s="243"/>
      <c r="P218" s="243"/>
      <c r="Q218" s="243"/>
      <c r="R218" s="243"/>
      <c r="S218" s="243"/>
      <c r="T218" s="243"/>
      <c r="U218" s="243"/>
      <c r="V218" s="243"/>
      <c r="W218" s="243"/>
      <c r="X218" s="243"/>
      <c r="Y218" s="243"/>
      <c r="Z218" s="243"/>
      <c r="AA218" s="243"/>
    </row>
    <row r="219" spans="1:27">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row>
    <row r="220" spans="1:27">
      <c r="G220" s="243"/>
      <c r="H220" s="243"/>
      <c r="I220" s="243"/>
      <c r="J220" s="243"/>
      <c r="K220" s="243"/>
      <c r="L220" s="243"/>
      <c r="M220" s="243"/>
      <c r="N220" s="243"/>
      <c r="O220" s="243"/>
      <c r="P220" s="243"/>
      <c r="Q220" s="243"/>
      <c r="R220" s="243"/>
      <c r="S220" s="243"/>
      <c r="T220" s="243"/>
      <c r="U220" s="243"/>
      <c r="V220" s="243"/>
      <c r="W220" s="243"/>
      <c r="X220" s="243"/>
      <c r="Y220" s="243"/>
      <c r="Z220" s="243"/>
      <c r="AA220" s="243"/>
    </row>
    <row r="221" spans="1:27">
      <c r="G221" s="243"/>
      <c r="H221" s="243"/>
      <c r="I221" s="243"/>
      <c r="J221" s="243"/>
      <c r="K221" s="243"/>
      <c r="L221" s="243"/>
      <c r="M221" s="243"/>
      <c r="N221" s="243"/>
      <c r="O221" s="243"/>
      <c r="P221" s="243"/>
      <c r="Q221" s="243"/>
      <c r="R221" s="243"/>
      <c r="S221" s="243"/>
      <c r="T221" s="243"/>
      <c r="U221" s="243"/>
      <c r="V221" s="243"/>
      <c r="W221" s="243"/>
      <c r="X221" s="243"/>
      <c r="Y221" s="243"/>
      <c r="Z221" s="243"/>
      <c r="AA221" s="243"/>
    </row>
    <row r="223" spans="1:27">
      <c r="A223" s="244" t="s">
        <v>810</v>
      </c>
    </row>
    <row r="224" spans="1:27">
      <c r="F224" s="86" t="s">
        <v>775</v>
      </c>
      <c r="J224" s="243" t="s">
        <v>776</v>
      </c>
    </row>
    <row r="226" spans="5:24">
      <c r="F226" s="86" t="s">
        <v>774</v>
      </c>
    </row>
    <row r="228" spans="5:24">
      <c r="F228" s="86" t="s">
        <v>403</v>
      </c>
    </row>
    <row r="229" spans="5:24">
      <c r="F229" s="243" t="s">
        <v>777</v>
      </c>
    </row>
    <row r="230" spans="5:24">
      <c r="F230" s="243" t="s">
        <v>778</v>
      </c>
      <c r="L230" s="243" t="s">
        <v>780</v>
      </c>
    </row>
    <row r="231" spans="5:24">
      <c r="F231" s="243" t="s">
        <v>779</v>
      </c>
      <c r="L231" s="243" t="s">
        <v>781</v>
      </c>
    </row>
    <row r="233" spans="5:24">
      <c r="F233" s="86" t="s">
        <v>333</v>
      </c>
    </row>
    <row r="234" spans="5:24">
      <c r="F234" s="242" t="s">
        <v>783</v>
      </c>
    </row>
    <row r="235" spans="5:24">
      <c r="F235" s="243">
        <v>60</v>
      </c>
      <c r="G235" s="243">
        <f t="shared" ref="G235" si="166">1000*F235/3600/(H235*H235*3.14/4)</f>
        <v>0.12562971896631869</v>
      </c>
      <c r="H235" s="243">
        <v>13</v>
      </c>
      <c r="I235" s="243">
        <f>1000*25.3102347763658*1*G235^1.73/H235^1.19</f>
        <v>33.047104679273566</v>
      </c>
      <c r="L235" s="243">
        <v>60</v>
      </c>
      <c r="M235" s="243">
        <f t="shared" ref="M235" si="167">1000*L235/3600/(N235*N235*3.14/4)</f>
        <v>0.12562971896631869</v>
      </c>
      <c r="N235" s="243">
        <v>13</v>
      </c>
      <c r="O235" s="243">
        <f>1000*21*1*M235^1.73/N235^1.2</f>
        <v>26.724962448570754</v>
      </c>
      <c r="Q235" s="190">
        <v>2.6724962448570757</v>
      </c>
      <c r="R235" s="190">
        <v>2.7010050448599503</v>
      </c>
    </row>
    <row r="236" spans="5:24">
      <c r="G236" s="86" t="s">
        <v>333</v>
      </c>
    </row>
    <row r="237" spans="5:24">
      <c r="H237" s="86" t="s">
        <v>403</v>
      </c>
      <c r="Q237" s="165"/>
      <c r="R237" s="166"/>
      <c r="S237" s="166"/>
      <c r="T237" s="166" t="s">
        <v>807</v>
      </c>
      <c r="U237" s="166" t="s">
        <v>809</v>
      </c>
      <c r="V237" s="166" t="s">
        <v>794</v>
      </c>
      <c r="W237" s="167"/>
    </row>
    <row r="238" spans="5:24">
      <c r="E238" s="243" t="s">
        <v>787</v>
      </c>
      <c r="F238" s="243" t="s">
        <v>786</v>
      </c>
      <c r="I238" s="244" t="s">
        <v>784</v>
      </c>
      <c r="Q238" s="179" t="s">
        <v>382</v>
      </c>
      <c r="R238" s="180" t="s">
        <v>15</v>
      </c>
      <c r="S238" s="180" t="s">
        <v>4</v>
      </c>
      <c r="T238" s="180" t="s">
        <v>805</v>
      </c>
      <c r="U238" s="180" t="s">
        <v>806</v>
      </c>
      <c r="V238" s="180"/>
      <c r="W238" s="202" t="s">
        <v>371</v>
      </c>
    </row>
    <row r="239" spans="5:24">
      <c r="E239" s="243">
        <v>27</v>
      </c>
      <c r="F239" s="243">
        <v>21</v>
      </c>
      <c r="G239" s="190">
        <v>26.4</v>
      </c>
      <c r="H239" s="243">
        <v>25.3102347763658</v>
      </c>
      <c r="I239" s="243">
        <v>21</v>
      </c>
      <c r="J239" s="243" t="s">
        <v>252</v>
      </c>
      <c r="L239" s="190">
        <f>I239/G239</f>
        <v>0.79545454545454553</v>
      </c>
      <c r="Q239" s="179">
        <v>67.7</v>
      </c>
      <c r="R239" s="180">
        <f t="shared" ref="R239" si="168">1000*Q239/3600/(S239*S239*3.14/4)</f>
        <v>0.12222511085113451</v>
      </c>
      <c r="S239" s="180">
        <v>14</v>
      </c>
      <c r="T239" s="180">
        <v>24.083615557758801</v>
      </c>
      <c r="U239" s="180">
        <v>14.483845468369401</v>
      </c>
      <c r="V239" s="180">
        <f>557/37.5</f>
        <v>14.853333333333333</v>
      </c>
      <c r="W239" s="202">
        <v>14.218</v>
      </c>
    </row>
    <row r="240" spans="5:24">
      <c r="E240" s="243">
        <v>1.73</v>
      </c>
      <c r="F240" s="243">
        <v>1.73</v>
      </c>
      <c r="G240" s="190">
        <v>1.83</v>
      </c>
      <c r="H240" s="243">
        <v>1.73</v>
      </c>
      <c r="I240" s="243">
        <v>1.73</v>
      </c>
      <c r="J240" s="243" t="s">
        <v>788</v>
      </c>
      <c r="Q240" s="179">
        <v>54.4</v>
      </c>
      <c r="R240" s="180">
        <f t="shared" ref="R240" si="169">1000*Q240/3600/(S240*S240*3.14/4)</f>
        <v>9.8213383017750608E-2</v>
      </c>
      <c r="S240" s="180">
        <v>14</v>
      </c>
      <c r="T240" s="180">
        <v>16.422422715177301</v>
      </c>
      <c r="U240" s="180">
        <v>11.6384223556765</v>
      </c>
      <c r="V240" s="180">
        <f>419/35</f>
        <v>11.971428571428572</v>
      </c>
      <c r="W240" s="202">
        <v>11.84</v>
      </c>
      <c r="X240" s="243"/>
    </row>
    <row r="241" spans="1:27">
      <c r="E241" s="243">
        <v>1.2</v>
      </c>
      <c r="F241" s="243">
        <v>1.2</v>
      </c>
      <c r="G241" s="190">
        <v>1.27</v>
      </c>
      <c r="H241" s="243">
        <v>1.19</v>
      </c>
      <c r="I241" s="243">
        <v>1.2</v>
      </c>
      <c r="J241" s="243" t="s">
        <v>789</v>
      </c>
      <c r="Q241" s="168">
        <v>166.6</v>
      </c>
      <c r="R241" s="235">
        <f t="shared" ref="R241" si="170">1000*Q241/3600/(S241*S241*3.14/4)</f>
        <v>0.30077848549186126</v>
      </c>
      <c r="S241" s="235">
        <v>14</v>
      </c>
      <c r="T241" s="235">
        <v>116.54975121991799</v>
      </c>
      <c r="U241" s="235">
        <v>3.5642668464259231</v>
      </c>
      <c r="V241" s="235">
        <f>9464/80</f>
        <v>118.3</v>
      </c>
      <c r="W241" s="170">
        <v>115</v>
      </c>
    </row>
    <row r="242" spans="1:27">
      <c r="E242" s="154">
        <v>9.9999999999999995E-7</v>
      </c>
      <c r="F242" s="243" t="s">
        <v>792</v>
      </c>
      <c r="P242" s="243"/>
      <c r="AA242" s="243"/>
    </row>
    <row r="243" spans="1:27">
      <c r="E243" s="154">
        <v>50</v>
      </c>
      <c r="F243" s="243" t="s">
        <v>800</v>
      </c>
      <c r="M243" s="86" t="s">
        <v>403</v>
      </c>
      <c r="V243" s="243" t="s">
        <v>782</v>
      </c>
      <c r="AA243" s="243"/>
    </row>
    <row r="244" spans="1:27">
      <c r="E244" s="190">
        <f>1000-(E243-4)*(0.097+0.0036*(E243-4))</f>
        <v>987.92039999999997</v>
      </c>
      <c r="F244" s="243" t="s">
        <v>554</v>
      </c>
      <c r="M244" s="244" t="s">
        <v>793</v>
      </c>
      <c r="AA244" s="243"/>
    </row>
    <row r="245" spans="1:27">
      <c r="E245" s="164">
        <f>0.00000179/(1+0.0337*E243+0.000221*E243*E243)</f>
        <v>5.5289575289575288E-7</v>
      </c>
      <c r="F245" s="243" t="s">
        <v>791</v>
      </c>
    </row>
    <row r="246" spans="1:27">
      <c r="A246" s="243" t="s">
        <v>796</v>
      </c>
      <c r="B246" s="243" t="s">
        <v>795</v>
      </c>
      <c r="C246" s="243" t="s">
        <v>798</v>
      </c>
      <c r="D246" s="243" t="s">
        <v>797</v>
      </c>
      <c r="E246" s="243" t="s">
        <v>790</v>
      </c>
      <c r="F246" s="243" t="s">
        <v>382</v>
      </c>
      <c r="G246" s="216" t="s">
        <v>15</v>
      </c>
      <c r="H246" s="243" t="s">
        <v>4</v>
      </c>
      <c r="I246" s="243" t="s">
        <v>381</v>
      </c>
      <c r="J246" s="243"/>
      <c r="K246" s="242" t="s">
        <v>808</v>
      </c>
    </row>
    <row r="247" spans="1:27">
      <c r="A247" s="190">
        <f>B247/C247</f>
        <v>0.93770117515150575</v>
      </c>
      <c r="B247" s="190">
        <v>8.39</v>
      </c>
      <c r="C247" s="190">
        <f t="shared" ref="C247:C252" si="171">0.1*D247*1000/H247*E$244*G247*G247/2</f>
        <v>8.9474133362842547</v>
      </c>
      <c r="D247" s="164">
        <f t="shared" ref="D247:D252" si="172">0.11*(68/E247+E$242/H247*1000)^0.25</f>
        <v>4.018346259343638E-2</v>
      </c>
      <c r="E247" s="190">
        <f t="shared" ref="E247:E252" si="173">G247*H247/1000/E$245</f>
        <v>3840.040802286826</v>
      </c>
      <c r="F247" s="243">
        <v>60</v>
      </c>
      <c r="G247" s="246">
        <f>1000*F247/3600/(H247*H247*3.14/4)</f>
        <v>0.21231422505307856</v>
      </c>
      <c r="H247" s="243">
        <v>10</v>
      </c>
      <c r="I247" s="243">
        <f t="shared" ref="I247:I252" si="174">100*$I$239*1*G247^$I$240/H247^$I$241</f>
        <v>9.0759715405408716</v>
      </c>
      <c r="J247" s="190">
        <f>C247</f>
        <v>8.9474133362842547</v>
      </c>
      <c r="K247" s="243">
        <f>0.1*64/E247*1000/H247*E$244*G247*G247/2</f>
        <v>3.711028404987335</v>
      </c>
    </row>
    <row r="248" spans="1:27">
      <c r="A248" s="243">
        <f t="shared" ref="A248:A293" si="175">B248/C248</f>
        <v>0.97009887771801218</v>
      </c>
      <c r="B248" s="190">
        <v>21.24</v>
      </c>
      <c r="C248" s="243">
        <f t="shared" si="171"/>
        <v>21.894675365426028</v>
      </c>
      <c r="D248" s="164">
        <f t="shared" si="172"/>
        <v>3.5398989715910933E-2</v>
      </c>
      <c r="E248" s="243">
        <f t="shared" si="173"/>
        <v>6400.0680038113769</v>
      </c>
      <c r="F248" s="243">
        <v>100</v>
      </c>
      <c r="G248" s="246">
        <f t="shared" ref="G248:G293" si="176">1000*F248/3600/(H248*H248*3.14/4)</f>
        <v>0.35385704175513094</v>
      </c>
      <c r="H248" s="243">
        <v>10</v>
      </c>
      <c r="I248" s="243">
        <f t="shared" si="174"/>
        <v>21.962989919253342</v>
      </c>
      <c r="J248" s="243">
        <f t="shared" ref="J248:J293" si="177">C248</f>
        <v>21.894675365426028</v>
      </c>
      <c r="K248" s="243">
        <f t="shared" ref="K248:K310" si="178">0.1*64/E248*1000/H248*E$244*G248*G248/2</f>
        <v>6.1850473416455589</v>
      </c>
    </row>
    <row r="249" spans="1:27">
      <c r="A249" s="243">
        <f t="shared" si="175"/>
        <v>0.98176963796909722</v>
      </c>
      <c r="B249" s="190">
        <v>72.47</v>
      </c>
      <c r="C249" s="243">
        <f t="shared" si="171"/>
        <v>73.815686691954014</v>
      </c>
      <c r="D249" s="164">
        <f t="shared" si="172"/>
        <v>2.9836029656411165E-2</v>
      </c>
      <c r="E249" s="243">
        <f t="shared" si="173"/>
        <v>12800.136007622754</v>
      </c>
      <c r="F249" s="243">
        <v>200</v>
      </c>
      <c r="G249" s="246">
        <f t="shared" si="176"/>
        <v>0.70771408351026188</v>
      </c>
      <c r="H249" s="243">
        <v>10</v>
      </c>
      <c r="I249" s="243">
        <f t="shared" si="174"/>
        <v>72.857347298249351</v>
      </c>
      <c r="J249" s="243">
        <f t="shared" si="177"/>
        <v>73.815686691954014</v>
      </c>
      <c r="K249" s="243">
        <f t="shared" si="178"/>
        <v>12.370094683291118</v>
      </c>
    </row>
    <row r="250" spans="1:27">
      <c r="A250" s="243">
        <f t="shared" si="175"/>
        <v>0.98055662264777033</v>
      </c>
      <c r="B250" s="190">
        <v>362.23</v>
      </c>
      <c r="C250" s="243">
        <f t="shared" si="171"/>
        <v>369.41262914718806</v>
      </c>
      <c r="D250" s="164">
        <f t="shared" si="172"/>
        <v>2.3890436632385274E-2</v>
      </c>
      <c r="E250" s="243">
        <f t="shared" si="173"/>
        <v>32000.340019056883</v>
      </c>
      <c r="F250" s="243">
        <v>500</v>
      </c>
      <c r="G250" s="246">
        <f t="shared" si="176"/>
        <v>1.7692852087756545</v>
      </c>
      <c r="H250" s="243">
        <v>10</v>
      </c>
      <c r="I250" s="243">
        <f t="shared" si="174"/>
        <v>355.55727552565827</v>
      </c>
      <c r="J250" s="243">
        <f t="shared" si="177"/>
        <v>369.41262914718806</v>
      </c>
      <c r="K250" s="243">
        <f t="shared" si="178"/>
        <v>30.925236708227782</v>
      </c>
    </row>
    <row r="251" spans="1:27">
      <c r="A251" s="243">
        <f t="shared" si="175"/>
        <v>0.99485538760386749</v>
      </c>
      <c r="B251" s="190">
        <v>1249.82</v>
      </c>
      <c r="C251" s="243">
        <f t="shared" si="171"/>
        <v>1256.2830895555792</v>
      </c>
      <c r="D251" s="164">
        <f t="shared" si="172"/>
        <v>2.0311400568959956E-2</v>
      </c>
      <c r="E251" s="243">
        <f t="shared" si="173"/>
        <v>64000.680038113765</v>
      </c>
      <c r="F251" s="243">
        <v>1000</v>
      </c>
      <c r="G251" s="246">
        <f t="shared" si="176"/>
        <v>3.5385704175513091</v>
      </c>
      <c r="H251" s="243">
        <v>10</v>
      </c>
      <c r="I251" s="243">
        <f t="shared" si="174"/>
        <v>1179.4823929998367</v>
      </c>
      <c r="J251" s="243">
        <f t="shared" si="177"/>
        <v>1256.2830895555792</v>
      </c>
      <c r="K251" s="243">
        <f t="shared" si="178"/>
        <v>61.850473416455564</v>
      </c>
    </row>
    <row r="252" spans="1:27">
      <c r="A252" s="243">
        <f t="shared" si="175"/>
        <v>1.0275273935464091</v>
      </c>
      <c r="B252" s="190">
        <v>9185</v>
      </c>
      <c r="C252" s="243">
        <f t="shared" si="171"/>
        <v>8938.9344339510808</v>
      </c>
      <c r="D252" s="164">
        <f t="shared" si="172"/>
        <v>1.6058153298683913E-2</v>
      </c>
      <c r="E252" s="243">
        <f t="shared" si="173"/>
        <v>192002.04011434133</v>
      </c>
      <c r="F252" s="243">
        <v>3000</v>
      </c>
      <c r="G252" s="246">
        <f t="shared" si="176"/>
        <v>10.615711252653929</v>
      </c>
      <c r="H252" s="243">
        <v>10</v>
      </c>
      <c r="I252" s="243">
        <f t="shared" si="174"/>
        <v>7890.6218889048905</v>
      </c>
      <c r="J252" s="243">
        <f t="shared" si="177"/>
        <v>8938.9344339510808</v>
      </c>
      <c r="K252" s="243">
        <f t="shared" si="178"/>
        <v>185.55142024936674</v>
      </c>
    </row>
    <row r="253" spans="1:27">
      <c r="A253" s="243"/>
      <c r="C253" s="243"/>
      <c r="E253" s="243"/>
      <c r="F253" s="243"/>
      <c r="G253" s="246"/>
      <c r="H253" s="243"/>
      <c r="I253" s="243"/>
      <c r="J253" s="243"/>
      <c r="K253" s="243"/>
    </row>
    <row r="254" spans="1:27">
      <c r="A254" s="243">
        <f t="shared" si="175"/>
        <v>0.84798965458972886</v>
      </c>
      <c r="B254" s="190">
        <v>3.19</v>
      </c>
      <c r="C254" s="243">
        <f t="shared" ref="C254:C259" si="179">0.1*D254*1000/H254*E$244*G254*G254/2</f>
        <v>3.761838346416353</v>
      </c>
      <c r="D254" s="164">
        <f t="shared" ref="D254:D259" si="180">0.11*(68/E254+E$242/H254*1000)^0.25</f>
        <v>4.2039371620322473E-2</v>
      </c>
      <c r="E254" s="243">
        <f t="shared" ref="E254:E259" si="181">G254*H254/1000/E$245</f>
        <v>3200.034001905688</v>
      </c>
      <c r="F254" s="243">
        <v>60</v>
      </c>
      <c r="G254" s="246">
        <f t="shared" si="176"/>
        <v>0.14744043406463789</v>
      </c>
      <c r="H254" s="243">
        <v>12</v>
      </c>
      <c r="I254" s="243">
        <f t="shared" ref="I254:I259" si="182">100*$I$239*1*G254^$I$240/H254^$I$241</f>
        <v>3.880686133646714</v>
      </c>
      <c r="J254" s="243">
        <f t="shared" si="177"/>
        <v>3.761838346416353</v>
      </c>
      <c r="K254" s="243">
        <f t="shared" si="178"/>
        <v>1.7896549020965158</v>
      </c>
    </row>
    <row r="255" spans="1:27">
      <c r="A255" s="243">
        <f t="shared" si="175"/>
        <v>1.0236066120257676</v>
      </c>
      <c r="B255" s="190">
        <v>9.42</v>
      </c>
      <c r="C255" s="243">
        <f t="shared" si="179"/>
        <v>9.2027541531383417</v>
      </c>
      <c r="D255" s="164">
        <f t="shared" si="180"/>
        <v>3.7023409251864425E-2</v>
      </c>
      <c r="E255" s="243">
        <f t="shared" si="181"/>
        <v>5333.3900031761468</v>
      </c>
      <c r="F255" s="243">
        <v>100</v>
      </c>
      <c r="G255" s="246">
        <f t="shared" si="176"/>
        <v>0.24573405677439647</v>
      </c>
      <c r="H255" s="243">
        <v>12</v>
      </c>
      <c r="I255" s="243">
        <f t="shared" si="182"/>
        <v>9.3908922094294862</v>
      </c>
      <c r="J255" s="243">
        <f t="shared" si="177"/>
        <v>9.2027541531383417</v>
      </c>
      <c r="K255" s="243">
        <f t="shared" si="178"/>
        <v>2.9827581701608588</v>
      </c>
    </row>
    <row r="256" spans="1:27">
      <c r="A256" s="243">
        <f t="shared" si="175"/>
        <v>0.97276575371478902</v>
      </c>
      <c r="B256" s="190">
        <v>30.16</v>
      </c>
      <c r="C256" s="243">
        <f t="shared" si="179"/>
        <v>31.004380946620774</v>
      </c>
      <c r="D256" s="164">
        <f t="shared" si="180"/>
        <v>3.1183270390744759E-2</v>
      </c>
      <c r="E256" s="243">
        <f t="shared" si="181"/>
        <v>10666.780006352294</v>
      </c>
      <c r="F256" s="243">
        <v>200</v>
      </c>
      <c r="G256" s="246">
        <f t="shared" si="176"/>
        <v>0.49146811354879294</v>
      </c>
      <c r="H256" s="243">
        <v>12</v>
      </c>
      <c r="I256" s="243">
        <f t="shared" si="182"/>
        <v>31.152201847665758</v>
      </c>
      <c r="J256" s="243">
        <f t="shared" si="177"/>
        <v>31.004380946620774</v>
      </c>
      <c r="K256" s="243">
        <f t="shared" si="178"/>
        <v>5.9655163403217175</v>
      </c>
    </row>
    <row r="257" spans="1:11">
      <c r="A257" s="243">
        <f t="shared" si="175"/>
        <v>0.97903846048363974</v>
      </c>
      <c r="B257" s="190">
        <v>151.6</v>
      </c>
      <c r="C257" s="243">
        <f t="shared" si="179"/>
        <v>154.84580649171883</v>
      </c>
      <c r="D257" s="164">
        <f t="shared" si="180"/>
        <v>2.4918278025379437E-2</v>
      </c>
      <c r="E257" s="243">
        <f t="shared" si="181"/>
        <v>26666.950015880735</v>
      </c>
      <c r="F257" s="243">
        <v>500</v>
      </c>
      <c r="G257" s="246">
        <f t="shared" si="176"/>
        <v>1.2286702838719823</v>
      </c>
      <c r="H257" s="243">
        <v>12</v>
      </c>
      <c r="I257" s="243">
        <f t="shared" si="182"/>
        <v>152.02848341758886</v>
      </c>
      <c r="J257" s="243">
        <f t="shared" si="177"/>
        <v>154.84580649171883</v>
      </c>
      <c r="K257" s="243">
        <f t="shared" si="178"/>
        <v>14.913790850804293</v>
      </c>
    </row>
    <row r="258" spans="1:11">
      <c r="A258" s="243">
        <f t="shared" si="175"/>
        <v>0.99159911261007094</v>
      </c>
      <c r="B258" s="190">
        <v>520.5</v>
      </c>
      <c r="C258" s="243">
        <f t="shared" si="179"/>
        <v>524.90970734125449</v>
      </c>
      <c r="D258" s="164">
        <f t="shared" si="180"/>
        <v>2.1117533503320036E-2</v>
      </c>
      <c r="E258" s="243">
        <f t="shared" si="181"/>
        <v>53333.90003176147</v>
      </c>
      <c r="F258" s="243">
        <v>1000</v>
      </c>
      <c r="G258" s="246">
        <f t="shared" si="176"/>
        <v>2.4573405677439646</v>
      </c>
      <c r="H258" s="243">
        <v>12</v>
      </c>
      <c r="I258" s="243">
        <f t="shared" si="182"/>
        <v>504.32077127493289</v>
      </c>
      <c r="J258" s="243">
        <f t="shared" si="177"/>
        <v>524.90970734125449</v>
      </c>
      <c r="K258" s="243">
        <f t="shared" si="178"/>
        <v>29.827581701608587</v>
      </c>
    </row>
    <row r="259" spans="1:11">
      <c r="A259" s="243">
        <f t="shared" si="175"/>
        <v>1.0235817035061194</v>
      </c>
      <c r="B259" s="190">
        <v>3782.12</v>
      </c>
      <c r="C259" s="243">
        <f t="shared" si="179"/>
        <v>3694.9859371703674</v>
      </c>
      <c r="D259" s="164">
        <f t="shared" si="180"/>
        <v>1.6516912492270972E-2</v>
      </c>
      <c r="E259" s="243">
        <f t="shared" si="181"/>
        <v>160001.70009528441</v>
      </c>
      <c r="F259" s="243">
        <v>3000</v>
      </c>
      <c r="G259" s="246">
        <f t="shared" si="176"/>
        <v>7.3720217032318942</v>
      </c>
      <c r="H259" s="243">
        <v>12</v>
      </c>
      <c r="I259" s="243">
        <f t="shared" si="182"/>
        <v>3373.8566514166964</v>
      </c>
      <c r="J259" s="243">
        <f t="shared" si="177"/>
        <v>3694.9859371703674</v>
      </c>
      <c r="K259" s="243">
        <f t="shared" si="178"/>
        <v>89.482745104825767</v>
      </c>
    </row>
    <row r="260" spans="1:11">
      <c r="A260" s="243"/>
      <c r="C260" s="243"/>
      <c r="D260" s="164"/>
      <c r="E260" s="243"/>
      <c r="F260" s="243"/>
      <c r="G260" s="246"/>
      <c r="H260" s="243"/>
      <c r="I260" s="243"/>
      <c r="J260" s="243"/>
      <c r="K260" s="243"/>
    </row>
    <row r="261" spans="1:11">
      <c r="A261" s="243">
        <f t="shared" si="175"/>
        <v>0.72993406637092451</v>
      </c>
      <c r="B261" s="190">
        <v>1.32</v>
      </c>
      <c r="C261" s="243">
        <f t="shared" ref="C261:C266" si="183">0.1*D261*1000/H261*E$244*G261*G261/2</f>
        <v>1.8083825112626359</v>
      </c>
      <c r="D261" s="164">
        <f t="shared" ref="D261:D266" si="184">0.11*(68/E261+E$242/H261*1000)^0.25</f>
        <v>4.3679769026468515E-2</v>
      </c>
      <c r="E261" s="243">
        <f t="shared" ref="E261:E266" si="185">G261*H261/1000/E$245</f>
        <v>2742.8862873477328</v>
      </c>
      <c r="F261" s="243">
        <v>60</v>
      </c>
      <c r="G261" s="246">
        <f t="shared" si="176"/>
        <v>0.10832358421075436</v>
      </c>
      <c r="H261" s="243">
        <v>14</v>
      </c>
      <c r="I261" s="243">
        <f t="shared" ref="I261:I266" si="186">100*$I$239*1*G261^$I$240/H261^$I$241</f>
        <v>1.8920668605735109</v>
      </c>
      <c r="J261" s="243">
        <f t="shared" si="177"/>
        <v>1.8083825112626359</v>
      </c>
      <c r="K261" s="243">
        <f t="shared" si="178"/>
        <v>0.96601114248941455</v>
      </c>
    </row>
    <row r="262" spans="1:11">
      <c r="A262" s="243">
        <f t="shared" si="175"/>
        <v>0.99476229894814205</v>
      </c>
      <c r="B262" s="190">
        <v>4.4000000000000004</v>
      </c>
      <c r="C262" s="243">
        <f t="shared" si="183"/>
        <v>4.4231672276407581</v>
      </c>
      <c r="D262" s="164">
        <f t="shared" si="184"/>
        <v>3.8461471397554486E-2</v>
      </c>
      <c r="E262" s="243">
        <f t="shared" si="185"/>
        <v>4571.4771455795535</v>
      </c>
      <c r="F262" s="243">
        <v>100</v>
      </c>
      <c r="G262" s="246">
        <f t="shared" si="176"/>
        <v>0.18053930701792392</v>
      </c>
      <c r="H262" s="243">
        <v>14</v>
      </c>
      <c r="I262" s="243">
        <f t="shared" si="186"/>
        <v>4.5786222664656862</v>
      </c>
      <c r="J262" s="243">
        <f t="shared" si="177"/>
        <v>4.4231672276407581</v>
      </c>
      <c r="K262" s="243">
        <f t="shared" si="178"/>
        <v>1.6100185708156913</v>
      </c>
    </row>
    <row r="263" spans="1:11">
      <c r="A263" s="243">
        <f t="shared" si="175"/>
        <v>0.97479462290643437</v>
      </c>
      <c r="B263" s="190">
        <v>14.52</v>
      </c>
      <c r="C263" s="243">
        <f t="shared" si="183"/>
        <v>14.895445316170667</v>
      </c>
      <c r="D263" s="164">
        <f t="shared" si="184"/>
        <v>3.2380685292748394E-2</v>
      </c>
      <c r="E263" s="243">
        <f t="shared" si="185"/>
        <v>9142.954291159107</v>
      </c>
      <c r="F263" s="243">
        <v>200</v>
      </c>
      <c r="G263" s="246">
        <f t="shared" si="176"/>
        <v>0.36107861403584784</v>
      </c>
      <c r="H263" s="243">
        <v>14</v>
      </c>
      <c r="I263" s="243">
        <f t="shared" si="186"/>
        <v>15.188563753924855</v>
      </c>
      <c r="J263" s="243">
        <f t="shared" si="177"/>
        <v>14.895445316170667</v>
      </c>
      <c r="K263" s="243">
        <f t="shared" si="178"/>
        <v>3.2200371416313827</v>
      </c>
    </row>
    <row r="264" spans="1:11">
      <c r="A264" s="243">
        <f t="shared" si="175"/>
        <v>0.97079862071638034</v>
      </c>
      <c r="B264" s="190">
        <v>72.13</v>
      </c>
      <c r="C264" s="243">
        <f t="shared" si="183"/>
        <v>74.299652328279151</v>
      </c>
      <c r="D264" s="164">
        <f t="shared" si="184"/>
        <v>2.5842784645486585E-2</v>
      </c>
      <c r="E264" s="243">
        <f t="shared" si="185"/>
        <v>22857.38572789777</v>
      </c>
      <c r="F264" s="243">
        <v>500</v>
      </c>
      <c r="G264" s="246">
        <f t="shared" si="176"/>
        <v>0.90269653508961956</v>
      </c>
      <c r="H264" s="243">
        <v>14</v>
      </c>
      <c r="I264" s="243">
        <f t="shared" si="186"/>
        <v>74.122988933238986</v>
      </c>
      <c r="J264" s="243">
        <f t="shared" si="177"/>
        <v>74.299652328279151</v>
      </c>
      <c r="K264" s="243">
        <f t="shared" si="178"/>
        <v>8.0500928540784535</v>
      </c>
    </row>
    <row r="265" spans="1:11">
      <c r="A265" s="243">
        <f t="shared" si="175"/>
        <v>0.98104170342582642</v>
      </c>
      <c r="B265" s="190">
        <v>246.6</v>
      </c>
      <c r="C265" s="243">
        <f t="shared" si="183"/>
        <v>251.36546095733297</v>
      </c>
      <c r="D265" s="164">
        <f t="shared" si="184"/>
        <v>2.1857381802180349E-2</v>
      </c>
      <c r="E265" s="243">
        <f t="shared" si="185"/>
        <v>45714.771455795541</v>
      </c>
      <c r="F265" s="243">
        <v>1000</v>
      </c>
      <c r="G265" s="246">
        <f t="shared" si="176"/>
        <v>1.8053930701792391</v>
      </c>
      <c r="H265" s="243">
        <v>14</v>
      </c>
      <c r="I265" s="243">
        <f t="shared" si="186"/>
        <v>245.88657406609059</v>
      </c>
      <c r="J265" s="243">
        <f t="shared" si="177"/>
        <v>251.36546095733297</v>
      </c>
      <c r="K265" s="243">
        <f t="shared" si="178"/>
        <v>16.100185708156907</v>
      </c>
    </row>
    <row r="266" spans="1:11">
      <c r="A266" s="243">
        <f t="shared" si="175"/>
        <v>1.0175270249003496</v>
      </c>
      <c r="B266" s="190">
        <v>1787.86</v>
      </c>
      <c r="C266" s="243">
        <f t="shared" si="183"/>
        <v>1757.063897320164</v>
      </c>
      <c r="D266" s="164">
        <f t="shared" si="184"/>
        <v>1.6976086579405109E-2</v>
      </c>
      <c r="E266" s="243">
        <f t="shared" si="185"/>
        <v>137144.31436738663</v>
      </c>
      <c r="F266" s="243">
        <v>3000</v>
      </c>
      <c r="G266" s="246">
        <f t="shared" si="176"/>
        <v>5.4161792105377184</v>
      </c>
      <c r="H266" s="243">
        <v>14</v>
      </c>
      <c r="I266" s="243">
        <f t="shared" si="186"/>
        <v>1644.9571396984788</v>
      </c>
      <c r="J266" s="243">
        <f t="shared" si="177"/>
        <v>1757.063897320164</v>
      </c>
      <c r="K266" s="243">
        <f t="shared" si="178"/>
        <v>48.300557124470743</v>
      </c>
    </row>
    <row r="267" spans="1:11">
      <c r="A267" s="243"/>
      <c r="C267" s="243"/>
      <c r="D267" s="164"/>
      <c r="E267" s="243"/>
      <c r="F267" s="243"/>
      <c r="G267" s="246"/>
      <c r="H267" s="243"/>
      <c r="I267" s="243"/>
      <c r="J267" s="243"/>
      <c r="K267" s="243"/>
    </row>
    <row r="268" spans="1:11">
      <c r="A268" s="243">
        <f t="shared" si="175"/>
        <v>0.58329575480249096</v>
      </c>
      <c r="B268" s="190">
        <v>0.76</v>
      </c>
      <c r="C268" s="243">
        <f t="shared" ref="C268:C273" si="187">0.1*D268*1000/H268*E$244*G268*G268/2</f>
        <v>1.3029410787625955</v>
      </c>
      <c r="D268" s="164">
        <f t="shared" ref="D268:D273" si="188">0.11*(68/E268+E$242/H268*1000)^0.25</f>
        <v>4.4435587687825615E-2</v>
      </c>
      <c r="E268" s="243">
        <f t="shared" ref="E268:E273" si="189">G268*H268/1000/E$245</f>
        <v>2560.0272015245509</v>
      </c>
      <c r="F268" s="243">
        <v>60</v>
      </c>
      <c r="G268" s="246">
        <f t="shared" si="176"/>
        <v>9.436187780136826E-2</v>
      </c>
      <c r="H268" s="243">
        <v>15</v>
      </c>
      <c r="I268" s="243">
        <f t="shared" ref="I268:I273" si="190">100*$I$239*1*G268^$I$240/H268^$I$241</f>
        <v>1.3718538872314867</v>
      </c>
      <c r="J268" s="243">
        <f t="shared" si="177"/>
        <v>1.3029410787625955</v>
      </c>
      <c r="K268" s="243">
        <f t="shared" si="178"/>
        <v>0.73304264789873297</v>
      </c>
    </row>
    <row r="269" spans="1:11">
      <c r="A269" s="243">
        <f t="shared" si="175"/>
        <v>1.0324160506920701</v>
      </c>
      <c r="B269" s="190">
        <v>3.29</v>
      </c>
      <c r="C269" s="243">
        <f t="shared" si="187"/>
        <v>3.1866997784416276</v>
      </c>
      <c r="D269" s="164">
        <f t="shared" si="188"/>
        <v>3.9124590289770604E-2</v>
      </c>
      <c r="E269" s="243">
        <f t="shared" si="189"/>
        <v>4266.7120025409176</v>
      </c>
      <c r="F269" s="243">
        <v>100</v>
      </c>
      <c r="G269" s="246">
        <f t="shared" si="176"/>
        <v>0.15726979633561375</v>
      </c>
      <c r="H269" s="243">
        <v>15</v>
      </c>
      <c r="I269" s="243">
        <f t="shared" si="190"/>
        <v>3.3197562334090449</v>
      </c>
      <c r="J269" s="243">
        <f t="shared" si="177"/>
        <v>3.1866997784416276</v>
      </c>
      <c r="K269" s="243">
        <f t="shared" si="178"/>
        <v>1.221737746497888</v>
      </c>
    </row>
    <row r="270" spans="1:11">
      <c r="A270" s="243">
        <f t="shared" si="175"/>
        <v>0.95713999348497647</v>
      </c>
      <c r="B270" s="190">
        <v>10.27</v>
      </c>
      <c r="C270" s="243">
        <f t="shared" si="187"/>
        <v>10.72988284880523</v>
      </c>
      <c r="D270" s="164">
        <f t="shared" si="188"/>
        <v>3.2933936321578629E-2</v>
      </c>
      <c r="E270" s="243">
        <f t="shared" si="189"/>
        <v>8533.4240050818353</v>
      </c>
      <c r="F270" s="243">
        <v>200</v>
      </c>
      <c r="G270" s="246">
        <f t="shared" si="176"/>
        <v>0.3145395926712275</v>
      </c>
      <c r="H270" s="243">
        <v>15</v>
      </c>
      <c r="I270" s="243">
        <f t="shared" si="190"/>
        <v>11.012554926821799</v>
      </c>
      <c r="J270" s="243">
        <f t="shared" si="177"/>
        <v>10.72988284880523</v>
      </c>
      <c r="K270" s="243">
        <f t="shared" si="178"/>
        <v>2.443475492995776</v>
      </c>
    </row>
    <row r="271" spans="1:11">
      <c r="A271" s="243">
        <f t="shared" si="175"/>
        <v>0.98341186192571162</v>
      </c>
      <c r="B271" s="190">
        <v>52.61</v>
      </c>
      <c r="C271" s="243">
        <f t="shared" si="187"/>
        <v>53.497422633259063</v>
      </c>
      <c r="D271" s="164">
        <f t="shared" si="188"/>
        <v>2.6272506198980815E-2</v>
      </c>
      <c r="E271" s="243">
        <f t="shared" si="189"/>
        <v>21333.560012704584</v>
      </c>
      <c r="F271" s="243">
        <v>500</v>
      </c>
      <c r="G271" s="246">
        <f t="shared" si="176"/>
        <v>0.78634898167806866</v>
      </c>
      <c r="H271" s="243">
        <v>15</v>
      </c>
      <c r="I271" s="243">
        <f t="shared" si="190"/>
        <v>53.743296613978011</v>
      </c>
      <c r="J271" s="243">
        <f t="shared" si="177"/>
        <v>53.497422633259063</v>
      </c>
      <c r="K271" s="243">
        <f t="shared" si="178"/>
        <v>6.1086887324894397</v>
      </c>
    </row>
    <row r="272" spans="1:11">
      <c r="A272" s="243">
        <f t="shared" si="175"/>
        <v>0.98187647621210195</v>
      </c>
      <c r="B272" s="190">
        <v>177.58</v>
      </c>
      <c r="C272" s="243">
        <f t="shared" si="187"/>
        <v>180.85778028318882</v>
      </c>
      <c r="D272" s="164">
        <f t="shared" si="188"/>
        <v>2.2204748003457803E-2</v>
      </c>
      <c r="E272" s="243">
        <f t="shared" si="189"/>
        <v>42667.120025409167</v>
      </c>
      <c r="F272" s="243">
        <v>1000</v>
      </c>
      <c r="G272" s="246">
        <f t="shared" si="176"/>
        <v>1.5726979633561373</v>
      </c>
      <c r="H272" s="243">
        <v>15</v>
      </c>
      <c r="I272" s="243">
        <f t="shared" si="190"/>
        <v>178.28146535390024</v>
      </c>
      <c r="J272" s="243">
        <f t="shared" si="177"/>
        <v>180.85778028318882</v>
      </c>
      <c r="K272" s="243">
        <f t="shared" si="178"/>
        <v>12.217377464978879</v>
      </c>
    </row>
    <row r="273" spans="1:11">
      <c r="A273" s="243">
        <f t="shared" si="175"/>
        <v>1.018252921222816</v>
      </c>
      <c r="B273" s="190">
        <v>1283.93</v>
      </c>
      <c r="C273" s="243">
        <f t="shared" si="187"/>
        <v>1260.9146246868936</v>
      </c>
      <c r="D273" s="164">
        <f t="shared" si="188"/>
        <v>1.7200925900762127E-2</v>
      </c>
      <c r="E273" s="243">
        <f t="shared" si="189"/>
        <v>128001.36007622753</v>
      </c>
      <c r="F273" s="243">
        <v>3000</v>
      </c>
      <c r="G273" s="246">
        <f t="shared" si="176"/>
        <v>4.7180938900684124</v>
      </c>
      <c r="H273" s="243">
        <v>15</v>
      </c>
      <c r="I273" s="243">
        <f t="shared" si="190"/>
        <v>1192.6855722955404</v>
      </c>
      <c r="J273" s="243">
        <f t="shared" si="177"/>
        <v>1260.9146246868936</v>
      </c>
      <c r="K273" s="243">
        <f t="shared" si="178"/>
        <v>36.652132394936643</v>
      </c>
    </row>
    <row r="274" spans="1:11">
      <c r="A274" s="243"/>
      <c r="C274" s="243"/>
      <c r="D274" s="164"/>
      <c r="E274" s="243"/>
      <c r="F274" s="243"/>
      <c r="G274" s="246"/>
      <c r="H274" s="243"/>
      <c r="I274" s="243"/>
      <c r="J274" s="243"/>
      <c r="K274" s="243"/>
    </row>
    <row r="275" spans="1:11">
      <c r="A275" s="243">
        <f t="shared" si="175"/>
        <v>0.57359752742671333</v>
      </c>
      <c r="B275" s="190">
        <v>0.55000000000000004</v>
      </c>
      <c r="C275" s="243">
        <f t="shared" ref="C275:C280" si="191">0.1*D275*1000/H275*E$244*G275*G275/2</f>
        <v>0.95886047917155937</v>
      </c>
      <c r="D275" s="164">
        <f t="shared" ref="D275:D280" si="192">0.11*(68/E275+E$242/H275*1000)^0.25</f>
        <v>4.5154931590376604E-2</v>
      </c>
      <c r="E275" s="243">
        <f t="shared" ref="E275:E280" si="193">G275*H275/1000/E$245</f>
        <v>2400.0255014292666</v>
      </c>
      <c r="F275" s="243">
        <v>60</v>
      </c>
      <c r="G275" s="246">
        <f t="shared" si="176"/>
        <v>8.293524416135882E-2</v>
      </c>
      <c r="H275" s="243">
        <v>16</v>
      </c>
      <c r="I275" s="243">
        <f t="shared" ref="I275:I280" si="194">100*$I$239*1*G275^$I$240/H275^$I$241</f>
        <v>1.0155329199018495</v>
      </c>
      <c r="J275" s="243">
        <f t="shared" si="177"/>
        <v>0.95886047917155937</v>
      </c>
      <c r="K275" s="243">
        <f t="shared" si="178"/>
        <v>0.56625799636647567</v>
      </c>
    </row>
    <row r="276" spans="1:11">
      <c r="A276" s="243">
        <f t="shared" si="175"/>
        <v>1.0277017859650071</v>
      </c>
      <c r="B276" s="190">
        <v>2.41</v>
      </c>
      <c r="C276" s="243">
        <f t="shared" si="191"/>
        <v>2.3450382522562436</v>
      </c>
      <c r="D276" s="164">
        <f t="shared" si="192"/>
        <v>3.975595605068255E-2</v>
      </c>
      <c r="E276" s="243">
        <f t="shared" si="193"/>
        <v>4000.0425023821103</v>
      </c>
      <c r="F276" s="243">
        <v>100</v>
      </c>
      <c r="G276" s="246">
        <f t="shared" si="176"/>
        <v>0.13822540693559801</v>
      </c>
      <c r="H276" s="243">
        <v>16</v>
      </c>
      <c r="I276" s="243">
        <f t="shared" si="194"/>
        <v>2.457493303372019</v>
      </c>
      <c r="J276" s="243">
        <f t="shared" si="177"/>
        <v>2.3450382522562436</v>
      </c>
      <c r="K276" s="243">
        <f t="shared" si="178"/>
        <v>0.94376332727745926</v>
      </c>
    </row>
    <row r="277" spans="1:11">
      <c r="A277" s="243">
        <f t="shared" si="175"/>
        <v>1.0044394936613175</v>
      </c>
      <c r="B277" s="190">
        <v>7.93</v>
      </c>
      <c r="C277" s="243">
        <f t="shared" si="191"/>
        <v>7.8949504176643632</v>
      </c>
      <c r="D277" s="164">
        <f t="shared" si="192"/>
        <v>3.3461213428501189E-2</v>
      </c>
      <c r="E277" s="243">
        <f t="shared" si="193"/>
        <v>8000.0850047642207</v>
      </c>
      <c r="F277" s="243">
        <v>200</v>
      </c>
      <c r="G277" s="246">
        <f t="shared" si="176"/>
        <v>0.27645081387119602</v>
      </c>
      <c r="H277" s="243">
        <v>16</v>
      </c>
      <c r="I277" s="243">
        <f t="shared" si="194"/>
        <v>8.1521889207780589</v>
      </c>
      <c r="J277" s="243">
        <f t="shared" si="177"/>
        <v>7.8949504176643632</v>
      </c>
      <c r="K277" s="243">
        <f t="shared" si="178"/>
        <v>1.8875266545549185</v>
      </c>
    </row>
    <row r="278" spans="1:11">
      <c r="A278" s="243">
        <f t="shared" si="175"/>
        <v>0.97234017375869863</v>
      </c>
      <c r="B278" s="190">
        <v>38.26</v>
      </c>
      <c r="C278" s="243">
        <f t="shared" si="191"/>
        <v>39.348369050824402</v>
      </c>
      <c r="D278" s="164">
        <f t="shared" si="192"/>
        <v>2.668326675090291E-2</v>
      </c>
      <c r="E278" s="243">
        <f t="shared" si="193"/>
        <v>20000.212511910551</v>
      </c>
      <c r="F278" s="243">
        <v>500</v>
      </c>
      <c r="G278" s="246">
        <f t="shared" si="176"/>
        <v>0.69112703467799008</v>
      </c>
      <c r="H278" s="243">
        <v>16</v>
      </c>
      <c r="I278" s="243">
        <f t="shared" si="194"/>
        <v>39.784183609879413</v>
      </c>
      <c r="J278" s="243">
        <f t="shared" si="177"/>
        <v>39.348369050824402</v>
      </c>
      <c r="K278" s="243">
        <f t="shared" si="178"/>
        <v>4.718816636387297</v>
      </c>
    </row>
    <row r="279" spans="1:11">
      <c r="A279" s="243">
        <f t="shared" si="175"/>
        <v>0.98070726692200461</v>
      </c>
      <c r="B279" s="190">
        <v>130.38</v>
      </c>
      <c r="C279" s="243">
        <f t="shared" si="191"/>
        <v>132.9448698888545</v>
      </c>
      <c r="D279" s="164">
        <f t="shared" si="192"/>
        <v>2.253844004198988E-2</v>
      </c>
      <c r="E279" s="243">
        <f t="shared" si="193"/>
        <v>40000.425023821103</v>
      </c>
      <c r="F279" s="243">
        <v>1000</v>
      </c>
      <c r="G279" s="246">
        <f t="shared" si="176"/>
        <v>1.3822540693559802</v>
      </c>
      <c r="H279" s="243">
        <v>16</v>
      </c>
      <c r="I279" s="243">
        <f t="shared" si="194"/>
        <v>131.97520432777418</v>
      </c>
      <c r="J279" s="243">
        <f t="shared" si="177"/>
        <v>132.9448698888545</v>
      </c>
      <c r="K279" s="243">
        <f t="shared" si="178"/>
        <v>9.437633272774594</v>
      </c>
    </row>
    <row r="280" spans="1:11">
      <c r="A280" s="243">
        <f t="shared" si="175"/>
        <v>1.0124513868703915</v>
      </c>
      <c r="B280" s="190">
        <v>936.37</v>
      </c>
      <c r="C280" s="243">
        <f t="shared" si="191"/>
        <v>924.85428154178521</v>
      </c>
      <c r="D280" s="164">
        <f t="shared" si="192"/>
        <v>1.7421400806994451E-2</v>
      </c>
      <c r="E280" s="243">
        <f t="shared" si="193"/>
        <v>120001.27507146331</v>
      </c>
      <c r="F280" s="243">
        <v>3000</v>
      </c>
      <c r="G280" s="246">
        <f t="shared" si="176"/>
        <v>4.1467622080679405</v>
      </c>
      <c r="H280" s="243">
        <v>16</v>
      </c>
      <c r="I280" s="243">
        <f t="shared" si="194"/>
        <v>882.90121348303535</v>
      </c>
      <c r="J280" s="243">
        <f t="shared" si="177"/>
        <v>924.85428154178521</v>
      </c>
      <c r="K280" s="243">
        <f t="shared" si="178"/>
        <v>28.312899818323778</v>
      </c>
    </row>
    <row r="281" spans="1:11">
      <c r="A281" s="243"/>
      <c r="C281" s="243"/>
      <c r="D281" s="164"/>
      <c r="E281" s="243"/>
      <c r="F281" s="243"/>
      <c r="G281" s="246"/>
      <c r="H281" s="243"/>
      <c r="I281" s="243"/>
      <c r="J281" s="243"/>
      <c r="K281" s="243"/>
    </row>
    <row r="282" spans="1:11">
      <c r="A282" s="243">
        <f t="shared" si="175"/>
        <v>0.66233223035426492</v>
      </c>
      <c r="B282" s="190">
        <v>0.22</v>
      </c>
      <c r="C282" s="243">
        <f t="shared" ref="C282:C287" si="195">0.1*D282*1000/H282*E$244*G282*G282/2</f>
        <v>0.33215958686221192</v>
      </c>
      <c r="D282" s="164">
        <f t="shared" ref="D282:D287" si="196">0.11*(68/E282+E$242/H282*1000)^0.25</f>
        <v>4.7736066126202029E-2</v>
      </c>
      <c r="E282" s="243">
        <f t="shared" ref="E282:E287" si="197">G282*H282/1000/E$245</f>
        <v>1920.020401143413</v>
      </c>
      <c r="F282" s="243">
        <v>60</v>
      </c>
      <c r="G282" s="246">
        <f t="shared" si="176"/>
        <v>5.3078556263269641E-2</v>
      </c>
      <c r="H282" s="243">
        <v>20</v>
      </c>
      <c r="I282" s="243">
        <f t="shared" ref="I282:I287" si="198">100*$I$239*1*G282^$I$240/H282^$I$241</f>
        <v>0.35899908825394417</v>
      </c>
      <c r="J282" s="243">
        <f t="shared" si="177"/>
        <v>0.33215958686221192</v>
      </c>
      <c r="K282" s="243">
        <f t="shared" si="178"/>
        <v>0.23193927531170844</v>
      </c>
    </row>
    <row r="283" spans="1:11">
      <c r="A283" s="243">
        <f t="shared" si="175"/>
        <v>0.84950314534290128</v>
      </c>
      <c r="B283" s="190">
        <v>0.69</v>
      </c>
      <c r="C283" s="243">
        <f t="shared" si="195"/>
        <v>0.81223948820281533</v>
      </c>
      <c r="D283" s="164">
        <f t="shared" si="196"/>
        <v>4.2022940185943249E-2</v>
      </c>
      <c r="E283" s="243">
        <f t="shared" si="197"/>
        <v>3200.0340019056885</v>
      </c>
      <c r="F283" s="243">
        <v>100</v>
      </c>
      <c r="G283" s="246">
        <f t="shared" si="176"/>
        <v>8.8464260438782735E-2</v>
      </c>
      <c r="H283" s="243">
        <v>20</v>
      </c>
      <c r="I283" s="243">
        <f t="shared" si="198"/>
        <v>0.86874372854992854</v>
      </c>
      <c r="J283" s="243">
        <f t="shared" si="177"/>
        <v>0.81223948820281533</v>
      </c>
      <c r="K283" s="243">
        <f t="shared" si="178"/>
        <v>0.38656545885284743</v>
      </c>
    </row>
    <row r="284" spans="1:11">
      <c r="A284" s="243">
        <f t="shared" si="175"/>
        <v>1.0169594406166551</v>
      </c>
      <c r="B284" s="190">
        <v>2.78</v>
      </c>
      <c r="C284" s="243">
        <f t="shared" si="195"/>
        <v>2.7336390115168085</v>
      </c>
      <c r="D284" s="164">
        <f t="shared" si="196"/>
        <v>3.5357659390923252E-2</v>
      </c>
      <c r="E284" s="243">
        <f t="shared" si="197"/>
        <v>6400.0680038113769</v>
      </c>
      <c r="F284" s="243">
        <v>200</v>
      </c>
      <c r="G284" s="246">
        <f t="shared" si="176"/>
        <v>0.17692852087756547</v>
      </c>
      <c r="H284" s="243">
        <v>20</v>
      </c>
      <c r="I284" s="243">
        <f t="shared" si="198"/>
        <v>2.8818646175606855</v>
      </c>
      <c r="J284" s="243">
        <f t="shared" si="177"/>
        <v>2.7336390115168085</v>
      </c>
      <c r="K284" s="243">
        <f t="shared" si="178"/>
        <v>0.77313091770569486</v>
      </c>
    </row>
    <row r="285" spans="1:11">
      <c r="A285" s="243">
        <f t="shared" si="175"/>
        <v>0.96538163623017204</v>
      </c>
      <c r="B285" s="190">
        <v>13.14</v>
      </c>
      <c r="C285" s="243">
        <f t="shared" si="195"/>
        <v>13.611197382324232</v>
      </c>
      <c r="D285" s="164">
        <f t="shared" si="196"/>
        <v>2.8168171666810432E-2</v>
      </c>
      <c r="E285" s="243">
        <f t="shared" si="197"/>
        <v>16000.170009528441</v>
      </c>
      <c r="F285" s="243">
        <v>500</v>
      </c>
      <c r="G285" s="246">
        <f t="shared" si="176"/>
        <v>0.44232130219391363</v>
      </c>
      <c r="H285" s="243">
        <v>20</v>
      </c>
      <c r="I285" s="243">
        <f t="shared" si="198"/>
        <v>14.064030188459682</v>
      </c>
      <c r="J285" s="243">
        <f t="shared" si="177"/>
        <v>13.611197382324232</v>
      </c>
      <c r="K285" s="243">
        <f t="shared" si="178"/>
        <v>1.9328272942642364</v>
      </c>
    </row>
    <row r="286" spans="1:11">
      <c r="A286" s="243">
        <f t="shared" si="175"/>
        <v>0.97049017792196679</v>
      </c>
      <c r="B286" s="190">
        <v>44.56</v>
      </c>
      <c r="C286" s="243">
        <f t="shared" si="195"/>
        <v>45.914941762123526</v>
      </c>
      <c r="D286" s="164">
        <f t="shared" si="196"/>
        <v>2.3755073218368273E-2</v>
      </c>
      <c r="E286" s="243">
        <f t="shared" si="197"/>
        <v>32000.340019056883</v>
      </c>
      <c r="F286" s="243">
        <v>1000</v>
      </c>
      <c r="G286" s="246">
        <f t="shared" si="176"/>
        <v>0.88464260438782727</v>
      </c>
      <c r="H286" s="243">
        <v>20</v>
      </c>
      <c r="I286" s="243">
        <f t="shared" si="198"/>
        <v>46.654300512855919</v>
      </c>
      <c r="J286" s="243">
        <f t="shared" si="177"/>
        <v>45.914941762123526</v>
      </c>
      <c r="K286" s="243">
        <f t="shared" si="178"/>
        <v>3.8656545885284728</v>
      </c>
    </row>
    <row r="287" spans="1:11">
      <c r="A287" s="243">
        <f t="shared" si="175"/>
        <v>1.0054833808457557</v>
      </c>
      <c r="B287" s="190">
        <v>319.27999999999997</v>
      </c>
      <c r="C287" s="243">
        <f t="shared" si="195"/>
        <v>317.53881375089429</v>
      </c>
      <c r="D287" s="164">
        <f t="shared" si="196"/>
        <v>1.8253941069762202E-2</v>
      </c>
      <c r="E287" s="243">
        <f t="shared" si="197"/>
        <v>96001.020057170666</v>
      </c>
      <c r="F287" s="243">
        <v>3000</v>
      </c>
      <c r="G287" s="246">
        <f t="shared" si="176"/>
        <v>2.6539278131634823</v>
      </c>
      <c r="H287" s="243">
        <v>20</v>
      </c>
      <c r="I287" s="243">
        <f t="shared" si="198"/>
        <v>312.11270895023745</v>
      </c>
      <c r="J287" s="243">
        <f t="shared" si="177"/>
        <v>317.53881375089429</v>
      </c>
      <c r="K287" s="243">
        <f t="shared" si="178"/>
        <v>11.596963765585421</v>
      </c>
    </row>
    <row r="288" spans="1:11">
      <c r="A288" s="243"/>
      <c r="C288" s="243"/>
      <c r="D288" s="164"/>
      <c r="E288" s="243"/>
      <c r="F288" s="243"/>
      <c r="G288" s="246"/>
      <c r="H288" s="243"/>
      <c r="I288" s="243"/>
      <c r="J288" s="243"/>
      <c r="K288" s="243"/>
    </row>
    <row r="289" spans="1:11">
      <c r="A289" s="243">
        <f t="shared" si="175"/>
        <v>0.83759992765335745</v>
      </c>
      <c r="B289" s="190">
        <v>0.08</v>
      </c>
      <c r="C289" s="243">
        <f t="shared" ref="C289:C294" si="199">0.1*D289*1000/H289*E$244*G289*G289/2</f>
        <v>9.5510992012774118E-2</v>
      </c>
      <c r="D289" s="164">
        <f t="shared" ref="D289:D294" si="200">0.11*(68/E289+E$242/H289*1000)^0.25</f>
        <v>5.0964756332443857E-2</v>
      </c>
      <c r="E289" s="243">
        <f t="shared" ref="E289:E294" si="201">G289*H289/1000/E$245</f>
        <v>1476.9387701103178</v>
      </c>
      <c r="F289" s="243">
        <v>60</v>
      </c>
      <c r="G289" s="246">
        <f t="shared" si="176"/>
        <v>3.1407429741579673E-2</v>
      </c>
      <c r="H289" s="243">
        <v>26</v>
      </c>
      <c r="I289" s="243">
        <f t="shared" ref="I289:I294" si="202">100*$I$239*1*G289^$I$240/H289^$I$241</f>
        <v>0.10571030450902057</v>
      </c>
      <c r="J289" s="243">
        <f t="shared" si="177"/>
        <v>9.5510992012774118E-2</v>
      </c>
      <c r="K289" s="243">
        <f t="shared" si="178"/>
        <v>8.1208387420506456E-2</v>
      </c>
    </row>
    <row r="290" spans="1:11">
      <c r="A290" s="243">
        <f t="shared" si="175"/>
        <v>0.5566654736000527</v>
      </c>
      <c r="B290" s="190">
        <v>0.13</v>
      </c>
      <c r="C290" s="243">
        <f t="shared" si="199"/>
        <v>0.23353343464840262</v>
      </c>
      <c r="D290" s="164">
        <f t="shared" si="200"/>
        <v>4.4860918758621804E-2</v>
      </c>
      <c r="E290" s="243">
        <f t="shared" si="201"/>
        <v>2461.5646168505295</v>
      </c>
      <c r="F290" s="243">
        <v>100</v>
      </c>
      <c r="G290" s="246">
        <f t="shared" si="176"/>
        <v>5.2345716235966115E-2</v>
      </c>
      <c r="H290" s="243">
        <v>26</v>
      </c>
      <c r="I290" s="243">
        <f t="shared" si="202"/>
        <v>0.25580890617848467</v>
      </c>
      <c r="J290" s="243">
        <f t="shared" si="177"/>
        <v>0.23353343464840262</v>
      </c>
      <c r="K290" s="243">
        <f t="shared" si="178"/>
        <v>0.13534731236751071</v>
      </c>
    </row>
    <row r="291" spans="1:11">
      <c r="A291" s="243">
        <f t="shared" si="175"/>
        <v>0.91628396538887935</v>
      </c>
      <c r="B291" s="190">
        <v>0.72</v>
      </c>
      <c r="C291" s="243">
        <f t="shared" si="199"/>
        <v>0.78578260364342989</v>
      </c>
      <c r="D291" s="164">
        <f t="shared" si="200"/>
        <v>3.7736491133548433E-2</v>
      </c>
      <c r="E291" s="243">
        <f t="shared" si="201"/>
        <v>4923.1292337010591</v>
      </c>
      <c r="F291" s="243">
        <v>200</v>
      </c>
      <c r="G291" s="246">
        <f t="shared" si="176"/>
        <v>0.10469143247193223</v>
      </c>
      <c r="H291" s="243">
        <v>26</v>
      </c>
      <c r="I291" s="243">
        <f t="shared" si="202"/>
        <v>0.84858930354892059</v>
      </c>
      <c r="J291" s="243">
        <f t="shared" si="177"/>
        <v>0.78578260364342989</v>
      </c>
      <c r="K291" s="243">
        <f t="shared" si="178"/>
        <v>0.27069462473502143</v>
      </c>
    </row>
    <row r="292" spans="1:11">
      <c r="A292" s="243">
        <f t="shared" si="175"/>
        <v>0.96425661440957544</v>
      </c>
      <c r="B292" s="190">
        <v>3.77</v>
      </c>
      <c r="C292" s="243">
        <f t="shared" si="199"/>
        <v>3.9097476166221696</v>
      </c>
      <c r="D292" s="164">
        <f t="shared" si="200"/>
        <v>3.004192876451614E-2</v>
      </c>
      <c r="E292" s="243">
        <f t="shared" si="201"/>
        <v>12307.823084252646</v>
      </c>
      <c r="F292" s="243">
        <v>500</v>
      </c>
      <c r="G292" s="246">
        <f t="shared" si="176"/>
        <v>0.26172858117983056</v>
      </c>
      <c r="H292" s="243">
        <v>26</v>
      </c>
      <c r="I292" s="243">
        <f t="shared" si="202"/>
        <v>4.1412721159739503</v>
      </c>
      <c r="J292" s="243">
        <f t="shared" si="177"/>
        <v>3.9097476166221696</v>
      </c>
      <c r="K292" s="243">
        <f t="shared" si="178"/>
        <v>0.67673656183755349</v>
      </c>
    </row>
    <row r="293" spans="1:11">
      <c r="A293" s="243">
        <f t="shared" si="175"/>
        <v>0.96482003658324722</v>
      </c>
      <c r="B293" s="190">
        <v>12.71</v>
      </c>
      <c r="C293" s="243">
        <f t="shared" si="199"/>
        <v>13.173441178740848</v>
      </c>
      <c r="D293" s="164">
        <f t="shared" si="200"/>
        <v>2.5305698748477629E-2</v>
      </c>
      <c r="E293" s="243">
        <f t="shared" si="201"/>
        <v>24615.646168505293</v>
      </c>
      <c r="F293" s="243">
        <v>1000</v>
      </c>
      <c r="G293" s="246">
        <f t="shared" si="176"/>
        <v>0.52345716235966111</v>
      </c>
      <c r="H293" s="243">
        <v>26</v>
      </c>
      <c r="I293" s="243">
        <f t="shared" si="202"/>
        <v>13.737751641254111</v>
      </c>
      <c r="J293" s="243">
        <f t="shared" si="177"/>
        <v>13.173441178740848</v>
      </c>
      <c r="K293" s="243">
        <f t="shared" si="178"/>
        <v>1.353473123675107</v>
      </c>
    </row>
    <row r="294" spans="1:11">
      <c r="A294" s="243">
        <f t="shared" ref="A294" si="203">B294/C294</f>
        <v>0.99934829542764558</v>
      </c>
      <c r="B294" s="243">
        <v>90.64</v>
      </c>
      <c r="C294" s="243">
        <f t="shared" si="199"/>
        <v>90.699109024059453</v>
      </c>
      <c r="D294" s="164">
        <f t="shared" si="200"/>
        <v>1.935885239413164E-2</v>
      </c>
      <c r="E294" s="243">
        <f t="shared" si="201"/>
        <v>73846.938505515893</v>
      </c>
      <c r="F294" s="243">
        <v>3000</v>
      </c>
      <c r="G294" s="218">
        <f t="shared" ref="G294" si="204">1000*F294/3600/(H294*H294*3.14/4)</f>
        <v>1.5703714870789836</v>
      </c>
      <c r="H294" s="243">
        <v>26</v>
      </c>
      <c r="I294" s="243">
        <f t="shared" si="202"/>
        <v>91.904215313567448</v>
      </c>
      <c r="J294" s="243">
        <f t="shared" ref="J294" si="205">C294</f>
        <v>90.699109024059453</v>
      </c>
      <c r="K294" s="243">
        <f t="shared" si="178"/>
        <v>4.060419371025322</v>
      </c>
    </row>
    <row r="295" spans="1:11">
      <c r="E295" s="243"/>
      <c r="F295" s="243"/>
      <c r="G295" s="243"/>
      <c r="I295" s="243"/>
      <c r="K295" s="243"/>
    </row>
    <row r="296" spans="1:11">
      <c r="E296" s="243">
        <v>4000</v>
      </c>
      <c r="F296" s="243">
        <f t="shared" ref="F296:F302" si="206">H296*H296*3.14/4*G296*3.6</f>
        <v>62.499335907335904</v>
      </c>
      <c r="G296" s="243">
        <f t="shared" ref="G296:G302" si="207">E296*E$245/H296*1000</f>
        <v>0.22115830115830115</v>
      </c>
      <c r="H296" s="243">
        <v>10</v>
      </c>
      <c r="I296" s="243">
        <f t="shared" ref="I296:I302" si="208">100*$I$239*1*G296^$I$240/H296^$I$241</f>
        <v>9.7399316440690757</v>
      </c>
      <c r="J296" s="243">
        <f>I296</f>
        <v>9.7399316440690757</v>
      </c>
      <c r="K296" s="243">
        <f t="shared" si="178"/>
        <v>3.8656135140828072</v>
      </c>
    </row>
    <row r="297" spans="1:11">
      <c r="E297" s="243">
        <v>4000</v>
      </c>
      <c r="F297" s="243">
        <f t="shared" si="206"/>
        <v>74.999203088803085</v>
      </c>
      <c r="G297" s="243">
        <f t="shared" si="207"/>
        <v>0.18429858429858428</v>
      </c>
      <c r="H297" s="243">
        <v>12</v>
      </c>
      <c r="I297" s="243">
        <f t="shared" si="208"/>
        <v>5.7089318416759776</v>
      </c>
      <c r="J297" s="243">
        <f t="shared" ref="J297:J310" si="209">I297</f>
        <v>5.7089318416759776</v>
      </c>
      <c r="K297" s="243">
        <f t="shared" si="178"/>
        <v>2.2370448576868092</v>
      </c>
    </row>
    <row r="298" spans="1:11">
      <c r="E298" s="243">
        <v>4000</v>
      </c>
      <c r="F298" s="243">
        <f t="shared" si="206"/>
        <v>87.499070270270266</v>
      </c>
      <c r="G298" s="243">
        <f t="shared" si="207"/>
        <v>0.15797021511307224</v>
      </c>
      <c r="H298" s="243">
        <v>14</v>
      </c>
      <c r="I298" s="243">
        <f t="shared" si="208"/>
        <v>3.6341325572662044</v>
      </c>
      <c r="J298" s="243">
        <f t="shared" si="209"/>
        <v>3.6341325572662044</v>
      </c>
      <c r="K298" s="243">
        <f t="shared" si="178"/>
        <v>1.4087512806424223</v>
      </c>
    </row>
    <row r="299" spans="1:11">
      <c r="E299" s="243">
        <v>4000</v>
      </c>
      <c r="F299" s="243">
        <f t="shared" si="206"/>
        <v>93.749003861003871</v>
      </c>
      <c r="G299" s="243">
        <f t="shared" si="207"/>
        <v>0.14743886743886744</v>
      </c>
      <c r="H299" s="243">
        <v>15</v>
      </c>
      <c r="I299" s="243">
        <f t="shared" si="208"/>
        <v>2.9689885308599169</v>
      </c>
      <c r="J299" s="243">
        <f t="shared" si="209"/>
        <v>2.9689885308599169</v>
      </c>
      <c r="K299" s="243">
        <f t="shared" si="178"/>
        <v>1.1453669671356468</v>
      </c>
    </row>
    <row r="300" spans="1:11">
      <c r="E300" s="243">
        <v>4000</v>
      </c>
      <c r="F300" s="243">
        <f t="shared" si="206"/>
        <v>99.998937451737461</v>
      </c>
      <c r="G300" s="243">
        <f t="shared" si="207"/>
        <v>0.13822393822393822</v>
      </c>
      <c r="H300" s="243">
        <v>16</v>
      </c>
      <c r="I300" s="243">
        <f t="shared" si="208"/>
        <v>2.4574481296965702</v>
      </c>
      <c r="J300" s="243">
        <f t="shared" si="209"/>
        <v>2.4574481296965702</v>
      </c>
      <c r="K300" s="243">
        <f t="shared" si="178"/>
        <v>0.94375329933662289</v>
      </c>
    </row>
    <row r="301" spans="1:11">
      <c r="E301" s="243">
        <v>4000</v>
      </c>
      <c r="F301" s="243">
        <f t="shared" si="206"/>
        <v>124.99867181467181</v>
      </c>
      <c r="G301" s="243">
        <f t="shared" si="207"/>
        <v>0.11057915057915058</v>
      </c>
      <c r="H301" s="243">
        <v>20</v>
      </c>
      <c r="I301" s="243">
        <f t="shared" si="208"/>
        <v>1.2780210930159452</v>
      </c>
      <c r="J301" s="243">
        <f t="shared" si="209"/>
        <v>1.2780210930159452</v>
      </c>
      <c r="K301" s="243">
        <f t="shared" si="178"/>
        <v>0.4832016892603509</v>
      </c>
    </row>
    <row r="302" spans="1:11">
      <c r="E302" s="243">
        <v>4000</v>
      </c>
      <c r="F302" s="243">
        <f t="shared" si="206"/>
        <v>162.49827335907332</v>
      </c>
      <c r="G302" s="243">
        <f t="shared" si="207"/>
        <v>8.506088506088505E-2</v>
      </c>
      <c r="H302" s="243">
        <v>26</v>
      </c>
      <c r="I302" s="243">
        <f t="shared" si="208"/>
        <v>0.59249405820845558</v>
      </c>
      <c r="J302" s="243">
        <f t="shared" si="209"/>
        <v>0.59249405820845558</v>
      </c>
      <c r="K302" s="243">
        <f t="shared" si="178"/>
        <v>0.2199370456351164</v>
      </c>
    </row>
    <row r="303" spans="1:11">
      <c r="E303" s="243"/>
      <c r="F303" s="243"/>
      <c r="G303" s="243"/>
      <c r="H303" s="243"/>
      <c r="I303" s="243"/>
      <c r="J303" s="243"/>
      <c r="K303" s="243"/>
    </row>
    <row r="304" spans="1:11">
      <c r="E304" s="243">
        <v>2320</v>
      </c>
      <c r="F304" s="243">
        <f t="shared" ref="F304:F310" si="210">H304*H304*3.14/4*G304*3.6</f>
        <v>36.249614826254827</v>
      </c>
      <c r="G304" s="243">
        <f t="shared" ref="G304:G310" si="211">E304*E$245/H304*1000</f>
        <v>0.12827181467181467</v>
      </c>
      <c r="H304" s="243">
        <v>10</v>
      </c>
      <c r="I304" s="243">
        <f t="shared" ref="I304:I310" si="212">100*$I$239*1*G304^$I$240/H304^$I$241</f>
        <v>3.7956515633315586</v>
      </c>
      <c r="J304" s="243">
        <f t="shared" si="209"/>
        <v>3.7956515633315586</v>
      </c>
      <c r="K304" s="243">
        <f t="shared" si="178"/>
        <v>2.242055838168028</v>
      </c>
    </row>
    <row r="305" spans="1:14">
      <c r="E305" s="243">
        <v>2320</v>
      </c>
      <c r="F305" s="243">
        <f t="shared" si="210"/>
        <v>43.499537791505801</v>
      </c>
      <c r="G305" s="243">
        <f t="shared" si="211"/>
        <v>0.1068931788931789</v>
      </c>
      <c r="H305" s="243">
        <v>12</v>
      </c>
      <c r="I305" s="243">
        <f t="shared" si="212"/>
        <v>2.2247708568884752</v>
      </c>
      <c r="J305" s="243">
        <f t="shared" si="209"/>
        <v>2.2247708568884752</v>
      </c>
      <c r="K305" s="243">
        <f t="shared" si="178"/>
        <v>1.29748601745835</v>
      </c>
    </row>
    <row r="306" spans="1:14">
      <c r="E306" s="243">
        <v>2320</v>
      </c>
      <c r="F306" s="243">
        <f t="shared" si="210"/>
        <v>50.749460756756761</v>
      </c>
      <c r="G306" s="243">
        <f t="shared" si="211"/>
        <v>9.1622724765581906E-2</v>
      </c>
      <c r="H306" s="243">
        <v>14</v>
      </c>
      <c r="I306" s="243">
        <f t="shared" si="212"/>
        <v>1.4162215328011143</v>
      </c>
      <c r="J306" s="243">
        <f t="shared" si="209"/>
        <v>1.4162215328011143</v>
      </c>
      <c r="K306" s="243">
        <f t="shared" si="178"/>
        <v>0.81707574277260497</v>
      </c>
    </row>
    <row r="307" spans="1:14">
      <c r="E307" s="243">
        <v>2320</v>
      </c>
      <c r="F307" s="243">
        <f t="shared" si="210"/>
        <v>54.374422239382241</v>
      </c>
      <c r="G307" s="243">
        <f t="shared" si="211"/>
        <v>8.5514543114543123E-2</v>
      </c>
      <c r="H307" s="243">
        <v>15</v>
      </c>
      <c r="I307" s="243">
        <f t="shared" si="212"/>
        <v>1.1570148919406513</v>
      </c>
      <c r="J307" s="243">
        <f t="shared" si="209"/>
        <v>1.1570148919406513</v>
      </c>
      <c r="K307" s="243">
        <f t="shared" si="178"/>
        <v>0.66431284093867526</v>
      </c>
    </row>
    <row r="308" spans="1:14">
      <c r="E308" s="243">
        <v>2320</v>
      </c>
      <c r="F308" s="243">
        <f t="shared" si="210"/>
        <v>57.999383722007728</v>
      </c>
      <c r="G308" s="243">
        <f t="shared" si="211"/>
        <v>8.0169884169884173E-2</v>
      </c>
      <c r="H308" s="243">
        <v>16</v>
      </c>
      <c r="I308" s="243">
        <f t="shared" si="212"/>
        <v>0.9576675870172916</v>
      </c>
      <c r="J308" s="243">
        <f t="shared" si="209"/>
        <v>0.9576675870172916</v>
      </c>
      <c r="K308" s="243">
        <f t="shared" si="178"/>
        <v>0.54737691361524143</v>
      </c>
    </row>
    <row r="309" spans="1:14">
      <c r="E309" s="243">
        <v>2320</v>
      </c>
      <c r="F309" s="243">
        <f t="shared" si="210"/>
        <v>72.499229652509655</v>
      </c>
      <c r="G309" s="243">
        <f t="shared" si="211"/>
        <v>6.4135907335907336E-2</v>
      </c>
      <c r="H309" s="243">
        <v>20</v>
      </c>
      <c r="I309" s="243">
        <f t="shared" si="212"/>
        <v>0.49804484640613966</v>
      </c>
      <c r="J309" s="243">
        <f t="shared" si="209"/>
        <v>0.49804484640613966</v>
      </c>
      <c r="K309" s="243">
        <f t="shared" si="178"/>
        <v>0.2802569797710035</v>
      </c>
    </row>
    <row r="310" spans="1:14">
      <c r="E310" s="243">
        <v>2320</v>
      </c>
      <c r="F310" s="243">
        <f t="shared" si="210"/>
        <v>94.248998548262549</v>
      </c>
      <c r="G310" s="243">
        <f t="shared" si="211"/>
        <v>4.9335313335313338E-2</v>
      </c>
      <c r="H310" s="243">
        <v>26</v>
      </c>
      <c r="I310" s="243">
        <f t="shared" si="212"/>
        <v>0.23089494674975519</v>
      </c>
      <c r="J310" s="243">
        <f t="shared" si="209"/>
        <v>0.23089494674975519</v>
      </c>
      <c r="K310" s="243">
        <f t="shared" si="178"/>
        <v>0.12756348646836757</v>
      </c>
    </row>
    <row r="311" spans="1:14">
      <c r="E311" s="243"/>
      <c r="F311" s="243"/>
      <c r="G311" s="243"/>
      <c r="H311" s="243"/>
      <c r="I311" s="243"/>
      <c r="J311" s="243"/>
    </row>
    <row r="312" spans="1:14">
      <c r="A312" s="243"/>
      <c r="B312" s="243"/>
      <c r="C312" s="243"/>
      <c r="D312" s="164"/>
      <c r="E312" s="243"/>
      <c r="F312" s="243"/>
      <c r="G312" s="246" t="s">
        <v>55</v>
      </c>
      <c r="H312" s="243"/>
      <c r="I312" s="243" t="s">
        <v>354</v>
      </c>
      <c r="J312" s="243" t="s">
        <v>799</v>
      </c>
      <c r="K312" s="242" t="s">
        <v>801</v>
      </c>
      <c r="L312" s="243" t="s">
        <v>371</v>
      </c>
      <c r="M312" s="242" t="s">
        <v>802</v>
      </c>
      <c r="N312" s="242" t="s">
        <v>803</v>
      </c>
    </row>
    <row r="313" spans="1:14">
      <c r="A313" s="243">
        <f t="shared" ref="A313:A321" si="213">B313/C313</f>
        <v>9.3153447337567084</v>
      </c>
      <c r="B313" s="243">
        <v>8.8999999999999996E-2</v>
      </c>
      <c r="C313" s="243">
        <f t="shared" ref="C313:C315" si="214">0.1*D313*1000/H313*E$244*G313*G313/2</f>
        <v>9.5541284347195506E-3</v>
      </c>
      <c r="D313" s="164">
        <f t="shared" ref="D313:D315" si="215">0.11*(68/E313+E$242/H313*1000)^0.25</f>
        <v>9.2308374069905288E-2</v>
      </c>
      <c r="E313" s="243">
        <f t="shared" ref="E313:E315" si="216">G313*H313/1000/E$245</f>
        <v>137.14431436738661</v>
      </c>
      <c r="F313" s="243">
        <v>3</v>
      </c>
      <c r="G313" s="246">
        <f t="shared" ref="G313:G315" si="217">1000*F313/3600/(H313*H313*3.14/4)</f>
        <v>5.4161792105377176E-3</v>
      </c>
      <c r="H313" s="243">
        <v>14</v>
      </c>
      <c r="I313" s="243">
        <f t="shared" ref="I313:I315" si="218">100*$I$239*1*G313^$I$240/H313^$I$241</f>
        <v>1.062073533827074E-2</v>
      </c>
      <c r="J313" s="243">
        <f t="shared" ref="J313:J315" si="219">C313</f>
        <v>9.5541284347195506E-3</v>
      </c>
      <c r="K313" s="243">
        <f>0.1*64/E313*1000/H313*E$244*G313*G313/2</f>
        <v>4.8300557124470726E-2</v>
      </c>
      <c r="L313" s="190">
        <f t="shared" ref="L313:L321" si="220">B313</f>
        <v>8.8999999999999996E-2</v>
      </c>
      <c r="M313" s="190">
        <f t="shared" ref="M313:M321" si="221">A313</f>
        <v>9.3153447337567084</v>
      </c>
      <c r="N313" s="190">
        <f>L313/K313</f>
        <v>1.8426288494074021</v>
      </c>
    </row>
    <row r="314" spans="1:14">
      <c r="A314" s="243">
        <f t="shared" si="213"/>
        <v>3.8188099200985937</v>
      </c>
      <c r="B314" s="243">
        <v>8.9200000000000002E-2</v>
      </c>
      <c r="C314" s="243">
        <f t="shared" si="214"/>
        <v>2.3358062293317036E-2</v>
      </c>
      <c r="D314" s="164">
        <f t="shared" si="215"/>
        <v>8.1243633673411239E-2</v>
      </c>
      <c r="E314" s="243">
        <f t="shared" si="216"/>
        <v>228.5738572789777</v>
      </c>
      <c r="F314" s="243">
        <v>5</v>
      </c>
      <c r="G314" s="246">
        <f t="shared" si="217"/>
        <v>9.0269653508961954E-3</v>
      </c>
      <c r="H314" s="243">
        <v>14</v>
      </c>
      <c r="I314" s="243">
        <f t="shared" si="218"/>
        <v>2.5701171728839154E-2</v>
      </c>
      <c r="J314" s="243">
        <f t="shared" si="219"/>
        <v>2.3358062293317036E-2</v>
      </c>
      <c r="K314" s="243">
        <f t="shared" ref="K314:K321" si="222">0.1*64/E314*1000/H314*E$244*G314*G314/2</f>
        <v>8.0500928540784528E-2</v>
      </c>
      <c r="L314" s="243">
        <f t="shared" si="220"/>
        <v>8.9200000000000002E-2</v>
      </c>
      <c r="M314" s="243">
        <f t="shared" si="221"/>
        <v>3.8188099200985937</v>
      </c>
      <c r="N314" s="243">
        <f t="shared" ref="N314:N321" si="223">L314/K314</f>
        <v>1.108061753036901</v>
      </c>
    </row>
    <row r="315" spans="1:14">
      <c r="A315" s="243">
        <f t="shared" si="213"/>
        <v>2.2699562668415325</v>
      </c>
      <c r="B315" s="243">
        <v>0.17835400000000001</v>
      </c>
      <c r="C315" s="243">
        <f t="shared" si="214"/>
        <v>7.8571557789598179E-2</v>
      </c>
      <c r="D315" s="164">
        <f t="shared" si="215"/>
        <v>6.8321579697492044E-2</v>
      </c>
      <c r="E315" s="243">
        <f t="shared" si="216"/>
        <v>457.1477145579554</v>
      </c>
      <c r="F315" s="243">
        <v>10</v>
      </c>
      <c r="G315" s="246">
        <f t="shared" si="217"/>
        <v>1.8053930701792391E-2</v>
      </c>
      <c r="H315" s="243">
        <v>14</v>
      </c>
      <c r="I315" s="243">
        <f t="shared" si="218"/>
        <v>8.5257936260239434E-2</v>
      </c>
      <c r="J315" s="243">
        <f t="shared" si="219"/>
        <v>7.8571557789598179E-2</v>
      </c>
      <c r="K315" s="243">
        <f t="shared" si="222"/>
        <v>0.16100185708156906</v>
      </c>
      <c r="L315" s="243">
        <f t="shared" si="220"/>
        <v>0.17835400000000001</v>
      </c>
      <c r="M315" s="243">
        <f t="shared" si="221"/>
        <v>2.2699562668415325</v>
      </c>
      <c r="N315" s="243">
        <f t="shared" si="223"/>
        <v>1.1077760420467682</v>
      </c>
    </row>
    <row r="316" spans="1:14">
      <c r="A316" s="243">
        <f t="shared" si="213"/>
        <v>1.6713220447491022</v>
      </c>
      <c r="B316" s="243">
        <v>0.26700000000000002</v>
      </c>
      <c r="C316" s="243">
        <f t="shared" ref="C316" si="224">0.1*D316*1000/H316*E$244*G316*G316/2</f>
        <v>0.15975377147620995</v>
      </c>
      <c r="D316" s="164">
        <f t="shared" ref="D316" si="225">0.11*(68/E316+E$242/H316*1000)^0.25</f>
        <v>6.173921984517268E-2</v>
      </c>
      <c r="E316" s="243">
        <f t="shared" ref="E316" si="226">G316*H316/1000/E$245</f>
        <v>685.72157183693321</v>
      </c>
      <c r="F316" s="243">
        <v>15</v>
      </c>
      <c r="G316" s="246">
        <f t="shared" ref="G316" si="227">1000*F316/3600/(H316*H316*3.14/4)</f>
        <v>2.708089605268859E-2</v>
      </c>
      <c r="H316" s="243">
        <v>14</v>
      </c>
      <c r="I316" s="243">
        <f t="shared" ref="I316" si="228">100*$I$239*1*G316^$I$240/H316^$I$241</f>
        <v>0.17193832601290035</v>
      </c>
      <c r="J316" s="243">
        <f t="shared" ref="J316" si="229">C316</f>
        <v>0.15975377147620995</v>
      </c>
      <c r="K316" s="243">
        <f t="shared" si="222"/>
        <v>0.24150278562235364</v>
      </c>
      <c r="L316" s="243">
        <f t="shared" si="220"/>
        <v>0.26700000000000002</v>
      </c>
      <c r="M316" s="243">
        <f t="shared" si="221"/>
        <v>1.6713220447491022</v>
      </c>
      <c r="N316" s="243">
        <f t="shared" si="223"/>
        <v>1.1055773096444415</v>
      </c>
    </row>
    <row r="317" spans="1:14">
      <c r="A317" s="243">
        <f t="shared" si="213"/>
        <v>1.3495621645500135</v>
      </c>
      <c r="B317" s="243">
        <v>0.35670800000000003</v>
      </c>
      <c r="C317" s="243">
        <f t="shared" ref="C317:C321" si="230">0.1*D317*1000/H317*E$244*G317*G317/2</f>
        <v>0.26431387109828891</v>
      </c>
      <c r="D317" s="164">
        <f t="shared" ref="D317:D321" si="231">0.11*(68/E317+E$242/H317*1000)^0.25</f>
        <v>5.7458263897960639E-2</v>
      </c>
      <c r="E317" s="243">
        <f t="shared" ref="E317:E321" si="232">G317*H317/1000/E$245</f>
        <v>914.29542911591079</v>
      </c>
      <c r="F317" s="243">
        <v>20</v>
      </c>
      <c r="G317" s="246">
        <f t="shared" ref="G317:G321" si="233">1000*F317/3600/(H317*H317*3.14/4)</f>
        <v>3.6107861403584782E-2</v>
      </c>
      <c r="H317" s="243">
        <v>14</v>
      </c>
      <c r="I317" s="243">
        <f t="shared" ref="I317:I321" si="234">100*$I$239*1*G317^$I$240/H317^$I$241</f>
        <v>0.28282429190567332</v>
      </c>
      <c r="J317" s="243">
        <f t="shared" ref="J317:J321" si="235">C317</f>
        <v>0.26431387109828891</v>
      </c>
      <c r="K317" s="243">
        <f t="shared" si="222"/>
        <v>0.32200371416313811</v>
      </c>
      <c r="L317" s="243">
        <f t="shared" si="220"/>
        <v>0.35670800000000003</v>
      </c>
      <c r="M317" s="243">
        <f t="shared" si="221"/>
        <v>1.3495621645500135</v>
      </c>
      <c r="N317" s="243">
        <f t="shared" si="223"/>
        <v>1.1077760420467682</v>
      </c>
    </row>
    <row r="318" spans="1:14">
      <c r="A318" s="243">
        <f t="shared" si="213"/>
        <v>0.82799607494923944</v>
      </c>
      <c r="B318" s="243">
        <v>0.44500000000000001</v>
      </c>
      <c r="C318" s="243">
        <f t="shared" si="230"/>
        <v>0.53744216121710586</v>
      </c>
      <c r="D318" s="164">
        <f t="shared" si="231"/>
        <v>5.1925628169581108E-2</v>
      </c>
      <c r="E318" s="243">
        <f t="shared" si="232"/>
        <v>1371.4431436738664</v>
      </c>
      <c r="F318" s="243">
        <v>30</v>
      </c>
      <c r="G318" s="246">
        <f t="shared" si="233"/>
        <v>5.4161792105377179E-2</v>
      </c>
      <c r="H318" s="243">
        <v>14</v>
      </c>
      <c r="I318" s="243">
        <f t="shared" si="234"/>
        <v>0.57036725774845565</v>
      </c>
      <c r="J318" s="243">
        <f t="shared" si="235"/>
        <v>0.53744216121710586</v>
      </c>
      <c r="K318" s="243">
        <f t="shared" si="222"/>
        <v>0.48300557124470728</v>
      </c>
      <c r="L318" s="243">
        <f t="shared" si="220"/>
        <v>0.44500000000000001</v>
      </c>
      <c r="M318" s="243">
        <f t="shared" si="221"/>
        <v>0.82799607494923944</v>
      </c>
      <c r="N318" s="243">
        <f t="shared" si="223"/>
        <v>0.92131442470370106</v>
      </c>
    </row>
    <row r="319" spans="1:14">
      <c r="A319" s="243">
        <f t="shared" si="213"/>
        <v>0.72993406637092451</v>
      </c>
      <c r="B319" s="243">
        <v>1.32</v>
      </c>
      <c r="C319" s="243">
        <f t="shared" si="230"/>
        <v>1.8083825112626359</v>
      </c>
      <c r="D319" s="164">
        <f t="shared" si="231"/>
        <v>4.3679769026468515E-2</v>
      </c>
      <c r="E319" s="244">
        <f t="shared" si="232"/>
        <v>2742.8862873477328</v>
      </c>
      <c r="F319" s="244">
        <v>60</v>
      </c>
      <c r="G319" s="259">
        <f t="shared" si="233"/>
        <v>0.10832358421075436</v>
      </c>
      <c r="H319" s="244">
        <v>14</v>
      </c>
      <c r="I319" s="244">
        <f t="shared" si="234"/>
        <v>1.8920668605735109</v>
      </c>
      <c r="J319" s="244">
        <f t="shared" si="235"/>
        <v>1.8083825112626359</v>
      </c>
      <c r="K319" s="243">
        <f t="shared" si="222"/>
        <v>0.96601114248941455</v>
      </c>
      <c r="L319" s="243">
        <f t="shared" si="220"/>
        <v>1.32</v>
      </c>
      <c r="M319" s="243">
        <f t="shared" si="221"/>
        <v>0.72993406637092451</v>
      </c>
      <c r="N319" s="243">
        <f t="shared" si="223"/>
        <v>1.3664438658526803</v>
      </c>
    </row>
    <row r="320" spans="1:14">
      <c r="A320" s="243">
        <f t="shared" si="213"/>
        <v>0.99476229894814205</v>
      </c>
      <c r="B320" s="243">
        <v>4.4000000000000004</v>
      </c>
      <c r="C320" s="243">
        <f t="shared" si="230"/>
        <v>4.4231672276407581</v>
      </c>
      <c r="D320" s="164">
        <f t="shared" si="231"/>
        <v>3.8461471397554486E-2</v>
      </c>
      <c r="E320" s="243">
        <f t="shared" si="232"/>
        <v>4571.4771455795535</v>
      </c>
      <c r="F320" s="243">
        <v>100</v>
      </c>
      <c r="G320" s="246">
        <f t="shared" si="233"/>
        <v>0.18053930701792392</v>
      </c>
      <c r="H320" s="243">
        <v>14</v>
      </c>
      <c r="I320" s="243">
        <f t="shared" si="234"/>
        <v>4.5786222664656862</v>
      </c>
      <c r="J320" s="243">
        <f t="shared" si="235"/>
        <v>4.4231672276407581</v>
      </c>
      <c r="K320" s="243">
        <f t="shared" si="222"/>
        <v>1.6100185708156913</v>
      </c>
      <c r="L320" s="243">
        <f t="shared" si="220"/>
        <v>4.4000000000000004</v>
      </c>
      <c r="M320" s="243">
        <f t="shared" si="221"/>
        <v>0.99476229894814205</v>
      </c>
      <c r="N320" s="243">
        <f t="shared" si="223"/>
        <v>2.7328877317053601</v>
      </c>
    </row>
    <row r="321" spans="1:14">
      <c r="A321" s="243">
        <f t="shared" si="213"/>
        <v>0.97479462290643437</v>
      </c>
      <c r="B321" s="243">
        <v>14.52</v>
      </c>
      <c r="C321" s="243">
        <f t="shared" si="230"/>
        <v>14.895445316170667</v>
      </c>
      <c r="D321" s="164">
        <f t="shared" si="231"/>
        <v>3.2380685292748394E-2</v>
      </c>
      <c r="E321" s="243">
        <f t="shared" si="232"/>
        <v>9142.954291159107</v>
      </c>
      <c r="F321" s="243">
        <v>200</v>
      </c>
      <c r="G321" s="246">
        <f t="shared" si="233"/>
        <v>0.36107861403584784</v>
      </c>
      <c r="H321" s="243">
        <v>14</v>
      </c>
      <c r="I321" s="243">
        <f t="shared" si="234"/>
        <v>15.188563753924855</v>
      </c>
      <c r="J321" s="243">
        <f t="shared" si="235"/>
        <v>14.895445316170667</v>
      </c>
      <c r="K321" s="243">
        <f t="shared" si="222"/>
        <v>3.2200371416313827</v>
      </c>
      <c r="L321" s="243">
        <f t="shared" si="220"/>
        <v>14.52</v>
      </c>
      <c r="M321" s="243">
        <f t="shared" si="221"/>
        <v>0.97479462290643437</v>
      </c>
      <c r="N321" s="243">
        <f t="shared" si="223"/>
        <v>4.5092647573138436</v>
      </c>
    </row>
    <row r="323" spans="1:14">
      <c r="A323" s="244" t="s">
        <v>804</v>
      </c>
    </row>
    <row r="324" spans="1:14">
      <c r="A324" s="243"/>
    </row>
    <row r="333" spans="1:14">
      <c r="A333" s="297"/>
    </row>
    <row r="335" spans="1:14">
      <c r="B335" s="297" t="s">
        <v>1224</v>
      </c>
    </row>
    <row r="336" spans="1:14">
      <c r="B336" s="297" t="s">
        <v>1223</v>
      </c>
    </row>
    <row r="337" spans="1:15">
      <c r="A337" s="297" t="s">
        <v>898</v>
      </c>
      <c r="C337" s="297">
        <v>0.02</v>
      </c>
      <c r="D337" s="297">
        <v>0.04</v>
      </c>
      <c r="E337" s="297">
        <v>0.06</v>
      </c>
      <c r="F337" s="297">
        <v>0.08</v>
      </c>
      <c r="G337" s="297">
        <v>0.1</v>
      </c>
      <c r="H337" s="297">
        <v>0.15</v>
      </c>
      <c r="I337" s="313">
        <v>0.2</v>
      </c>
      <c r="J337" s="297">
        <v>0.3</v>
      </c>
      <c r="K337" s="297">
        <v>0.4</v>
      </c>
      <c r="L337" s="297">
        <v>0.5</v>
      </c>
      <c r="M337" s="297">
        <v>0.6</v>
      </c>
      <c r="N337" s="297">
        <v>0.7</v>
      </c>
    </row>
    <row r="338" spans="1:15">
      <c r="B338" s="297"/>
      <c r="C338" s="306">
        <v>1000</v>
      </c>
      <c r="D338" s="305">
        <v>500</v>
      </c>
      <c r="E338" s="305">
        <v>333.33333333333337</v>
      </c>
      <c r="F338" s="305">
        <v>250</v>
      </c>
      <c r="G338" s="305">
        <v>200</v>
      </c>
      <c r="H338" s="305">
        <v>133.33333333333334</v>
      </c>
      <c r="I338" s="306">
        <v>100</v>
      </c>
      <c r="J338" s="305">
        <v>66.666666666666671</v>
      </c>
      <c r="K338" s="305">
        <v>50</v>
      </c>
      <c r="L338" s="305">
        <v>40</v>
      </c>
      <c r="M338" s="305">
        <v>33.333333333333336</v>
      </c>
      <c r="N338" s="305">
        <v>28.571428571428573</v>
      </c>
      <c r="O338" s="297" t="s">
        <v>213</v>
      </c>
    </row>
    <row r="339" spans="1:15">
      <c r="A339" s="297" t="s">
        <v>267</v>
      </c>
      <c r="B339" s="297" t="s">
        <v>1219</v>
      </c>
      <c r="C339" s="308">
        <v>8.6600357163248471</v>
      </c>
      <c r="D339" s="309">
        <v>12.8495627797165</v>
      </c>
      <c r="E339" s="309">
        <v>16.00842482375166</v>
      </c>
      <c r="F339" s="309">
        <v>18.484955912417703</v>
      </c>
      <c r="G339" s="309">
        <v>20.419004661380249</v>
      </c>
      <c r="H339" s="309">
        <v>23.377168006087654</v>
      </c>
      <c r="I339" s="307">
        <v>24.375530285210971</v>
      </c>
      <c r="J339" s="309">
        <v>23.330906647690185</v>
      </c>
      <c r="K339" s="309">
        <v>20.9584317622299</v>
      </c>
      <c r="L339" s="309">
        <v>18.564025363036141</v>
      </c>
      <c r="M339" s="309">
        <v>16.475049795005773</v>
      </c>
      <c r="N339" s="310">
        <v>14.722265893111469</v>
      </c>
      <c r="O339" s="297" t="s">
        <v>266</v>
      </c>
    </row>
    <row r="340" spans="1:15">
      <c r="A340" s="297" t="s">
        <v>18</v>
      </c>
      <c r="B340" s="297" t="s">
        <v>1220</v>
      </c>
      <c r="C340" s="308">
        <v>14.01283348199042</v>
      </c>
      <c r="D340" s="309">
        <v>20.145443872072562</v>
      </c>
      <c r="E340" s="309">
        <v>24.194057178214852</v>
      </c>
      <c r="F340" s="309">
        <v>26.956751603199621</v>
      </c>
      <c r="G340" s="309">
        <v>28.798619028366534</v>
      </c>
      <c r="H340" s="309">
        <v>30.683789895425949</v>
      </c>
      <c r="I340" s="307">
        <v>30.261129758496477</v>
      </c>
      <c r="J340" s="309">
        <v>26.906690281875161</v>
      </c>
      <c r="K340" s="309">
        <v>23.166216072234107</v>
      </c>
      <c r="L340" s="309">
        <v>19.995274320393193</v>
      </c>
      <c r="M340" s="309">
        <v>17.449666625637704</v>
      </c>
      <c r="N340" s="310">
        <v>15.414904315240051</v>
      </c>
    </row>
    <row r="341" spans="1:15">
      <c r="B341" s="297" t="s">
        <v>1221</v>
      </c>
      <c r="C341" s="308">
        <v>20.435704739699503</v>
      </c>
      <c r="D341" s="309">
        <v>27.784209629130039</v>
      </c>
      <c r="E341" s="309">
        <v>31.953054921133777</v>
      </c>
      <c r="F341" s="309">
        <v>34.399650279196251</v>
      </c>
      <c r="G341" s="309">
        <v>35.725056800171728</v>
      </c>
      <c r="H341" s="309">
        <v>36.084082996398941</v>
      </c>
      <c r="I341" s="307">
        <v>34.295507297970765</v>
      </c>
      <c r="J341" s="309">
        <v>29.146533371139846</v>
      </c>
      <c r="K341" s="309">
        <v>24.483889430383204</v>
      </c>
      <c r="L341" s="309">
        <v>20.825505275495651</v>
      </c>
      <c r="M341" s="309">
        <v>18.00486384229848</v>
      </c>
      <c r="N341" s="310">
        <v>15.804663925634927</v>
      </c>
    </row>
    <row r="342" spans="1:15">
      <c r="B342" s="297" t="s">
        <v>1222</v>
      </c>
      <c r="C342" s="308">
        <v>27.119041389806348</v>
      </c>
      <c r="D342" s="309">
        <v>34.718606789011339</v>
      </c>
      <c r="E342" s="309">
        <v>38.457865983472097</v>
      </c>
      <c r="F342" s="309">
        <v>40.305821973266319</v>
      </c>
      <c r="G342" s="309">
        <v>40.997548483453087</v>
      </c>
      <c r="H342" s="309">
        <v>39.909334166045291</v>
      </c>
      <c r="I342" s="307">
        <v>37.024519104478671</v>
      </c>
      <c r="J342" s="309">
        <v>30.583132846271926</v>
      </c>
      <c r="K342" s="309">
        <v>25.305823808199747</v>
      </c>
      <c r="L342" s="309">
        <v>21.335064515638507</v>
      </c>
      <c r="M342" s="309">
        <v>18.342149725952638</v>
      </c>
      <c r="N342" s="310">
        <v>16.03981910376443</v>
      </c>
    </row>
    <row r="343" spans="1:15">
      <c r="B343" s="297"/>
      <c r="C343" s="297"/>
      <c r="D343" s="297"/>
      <c r="E343" s="297"/>
      <c r="F343" s="297"/>
      <c r="G343" s="297"/>
      <c r="H343" s="297"/>
      <c r="I343" s="297"/>
      <c r="J343" s="297"/>
      <c r="K343" s="297"/>
      <c r="L343" s="297"/>
      <c r="M343" s="297"/>
      <c r="N343" s="297"/>
    </row>
    <row r="344" spans="1:15">
      <c r="B344" s="297" t="s">
        <v>1219</v>
      </c>
      <c r="C344" s="297">
        <f t="shared" ref="C344:M347" si="236">C339/D339</f>
        <v>0.67395567186107119</v>
      </c>
      <c r="D344" s="297">
        <f t="shared" si="236"/>
        <v>0.80267502400683644</v>
      </c>
      <c r="E344" s="297">
        <f t="shared" si="236"/>
        <v>0.86602450660959518</v>
      </c>
      <c r="F344" s="297">
        <f t="shared" si="236"/>
        <v>0.90528192823127496</v>
      </c>
      <c r="G344" s="297">
        <f t="shared" si="236"/>
        <v>0.87345929395994126</v>
      </c>
      <c r="H344" s="297">
        <f t="shared" si="236"/>
        <v>0.9590424385668016</v>
      </c>
      <c r="I344" s="297">
        <f t="shared" si="236"/>
        <v>1.0447742410226568</v>
      </c>
      <c r="J344" s="297">
        <f t="shared" si="236"/>
        <v>1.1131990652915085</v>
      </c>
      <c r="K344" s="297">
        <f t="shared" si="236"/>
        <v>1.1289809915882465</v>
      </c>
      <c r="L344" s="297">
        <f t="shared" si="236"/>
        <v>1.1267963128502116</v>
      </c>
      <c r="M344" s="297">
        <f>M339/N339</f>
        <v>1.1190566665905979</v>
      </c>
      <c r="N344" s="297" t="s">
        <v>694</v>
      </c>
    </row>
    <row r="345" spans="1:15">
      <c r="B345" s="297" t="s">
        <v>1220</v>
      </c>
      <c r="C345" s="297">
        <f t="shared" si="236"/>
        <v>0.69558325798004772</v>
      </c>
      <c r="D345" s="297">
        <f t="shared" si="236"/>
        <v>0.83266083582757677</v>
      </c>
      <c r="E345" s="297">
        <f t="shared" si="236"/>
        <v>0.89751382267228175</v>
      </c>
      <c r="F345" s="297">
        <f t="shared" si="236"/>
        <v>0.93604320320524115</v>
      </c>
      <c r="G345" s="297">
        <f t="shared" si="236"/>
        <v>0.93856134221084475</v>
      </c>
      <c r="H345" s="297">
        <f t="shared" si="236"/>
        <v>1.0139670970747812</v>
      </c>
      <c r="I345" s="297">
        <f t="shared" si="236"/>
        <v>1.1246693458571131</v>
      </c>
      <c r="J345" s="297">
        <f t="shared" si="236"/>
        <v>1.1614624588658742</v>
      </c>
      <c r="K345" s="297">
        <f t="shared" si="236"/>
        <v>1.1585845585827681</v>
      </c>
      <c r="L345" s="297">
        <f t="shared" si="236"/>
        <v>1.1458828841472184</v>
      </c>
      <c r="M345" s="297">
        <f t="shared" si="236"/>
        <v>1.1319996717972469</v>
      </c>
      <c r="N345" s="297"/>
    </row>
    <row r="346" spans="1:15">
      <c r="B346" s="297" t="s">
        <v>1221</v>
      </c>
      <c r="C346" s="297">
        <f t="shared" si="236"/>
        <v>0.73551506458092375</v>
      </c>
      <c r="D346" s="297">
        <f t="shared" si="236"/>
        <v>0.86953218394005705</v>
      </c>
      <c r="E346" s="297">
        <f t="shared" si="236"/>
        <v>0.92887731886210212</v>
      </c>
      <c r="F346" s="297">
        <f t="shared" si="236"/>
        <v>0.96289980647507034</v>
      </c>
      <c r="G346" s="297">
        <f t="shared" si="236"/>
        <v>0.99005028903566594</v>
      </c>
      <c r="H346" s="297">
        <f t="shared" si="236"/>
        <v>1.0521518950831792</v>
      </c>
      <c r="I346" s="297">
        <f t="shared" si="236"/>
        <v>1.1766581933180877</v>
      </c>
      <c r="J346" s="297">
        <f t="shared" si="236"/>
        <v>1.1904372242006023</v>
      </c>
      <c r="K346" s="297">
        <f t="shared" si="236"/>
        <v>1.1756684462869764</v>
      </c>
      <c r="L346" s="297">
        <f t="shared" si="236"/>
        <v>1.1566599702115321</v>
      </c>
      <c r="M346" s="297">
        <f t="shared" si="236"/>
        <v>1.1392120659456011</v>
      </c>
      <c r="N346" s="297"/>
    </row>
    <row r="347" spans="1:15">
      <c r="B347" s="297" t="s">
        <v>1222</v>
      </c>
      <c r="C347" s="297">
        <f t="shared" si="236"/>
        <v>0.78110972466757211</v>
      </c>
      <c r="D347" s="297">
        <f t="shared" si="236"/>
        <v>0.90276997699072103</v>
      </c>
      <c r="E347" s="297">
        <f t="shared" si="236"/>
        <v>0.954151636182487</v>
      </c>
      <c r="F347" s="297">
        <f t="shared" si="236"/>
        <v>0.98312761285065731</v>
      </c>
      <c r="G347" s="297">
        <f t="shared" si="236"/>
        <v>1.0272671629368761</v>
      </c>
      <c r="H347" s="297">
        <f t="shared" si="236"/>
        <v>1.0779163411528998</v>
      </c>
      <c r="I347" s="297">
        <f t="shared" si="236"/>
        <v>1.210618915026946</v>
      </c>
      <c r="J347" s="297">
        <f t="shared" si="236"/>
        <v>1.2085412859138849</v>
      </c>
      <c r="K347" s="297">
        <f t="shared" si="236"/>
        <v>1.1861142388226993</v>
      </c>
      <c r="L347" s="297">
        <f t="shared" si="236"/>
        <v>1.1631714294345303</v>
      </c>
      <c r="M347" s="297">
        <f t="shared" si="236"/>
        <v>1.1435384406329039</v>
      </c>
      <c r="N347" s="297"/>
    </row>
  </sheetData>
  <mergeCells count="1">
    <mergeCell ref="H209:H210"/>
  </mergeCells>
  <conditionalFormatting sqref="A7:O14">
    <cfRule type="colorScale" priority="13">
      <colorScale>
        <cfvo type="min" val="0"/>
        <cfvo type="percentile" val="50"/>
        <cfvo type="max" val="0"/>
        <color rgb="FF63BE7B"/>
        <color rgb="FFFFEB84"/>
        <color rgb="FFF8696B"/>
      </colorScale>
    </cfRule>
  </conditionalFormatting>
  <conditionalFormatting sqref="A18:O25">
    <cfRule type="colorScale" priority="12">
      <colorScale>
        <cfvo type="min" val="0"/>
        <cfvo type="percentile" val="50"/>
        <cfvo type="max" val="0"/>
        <color rgb="FF63BE7B"/>
        <color rgb="FFFFEB84"/>
        <color rgb="FFF8696B"/>
      </colorScale>
    </cfRule>
  </conditionalFormatting>
  <conditionalFormatting sqref="A29:O36">
    <cfRule type="colorScale" priority="11">
      <colorScale>
        <cfvo type="min" val="0"/>
        <cfvo type="percentile" val="50"/>
        <cfvo type="max" val="0"/>
        <color rgb="FF63BE7B"/>
        <color rgb="FFFFEB84"/>
        <color rgb="FFF8696B"/>
      </colorScale>
    </cfRule>
  </conditionalFormatting>
  <conditionalFormatting sqref="U7:AI14 AJ8:AN14">
    <cfRule type="colorScale" priority="10">
      <colorScale>
        <cfvo type="min" val="0"/>
        <cfvo type="percentile" val="50"/>
        <cfvo type="max" val="0"/>
        <color rgb="FF63BE7B"/>
        <color rgb="FFFFEB84"/>
        <color rgb="FFF8696B"/>
      </colorScale>
    </cfRule>
  </conditionalFormatting>
  <conditionalFormatting sqref="AJ7:AN14">
    <cfRule type="colorScale" priority="9">
      <colorScale>
        <cfvo type="min" val="0"/>
        <cfvo type="percentile" val="50"/>
        <cfvo type="max" val="0"/>
        <color rgb="FF63BE7B"/>
        <color rgb="FFFFEB84"/>
        <color rgb="FFF8696B"/>
      </colorScale>
    </cfRule>
  </conditionalFormatting>
  <conditionalFormatting sqref="U18:AI25">
    <cfRule type="colorScale" priority="8">
      <colorScale>
        <cfvo type="min" val="0"/>
        <cfvo type="percentile" val="50"/>
        <cfvo type="max" val="0"/>
        <color rgb="FF63BE7B"/>
        <color rgb="FFFFEB84"/>
        <color rgb="FFF8696B"/>
      </colorScale>
    </cfRule>
  </conditionalFormatting>
  <conditionalFormatting sqref="U18:AN25">
    <cfRule type="colorScale" priority="7">
      <colorScale>
        <cfvo type="min" val="0"/>
        <cfvo type="percentile" val="50"/>
        <cfvo type="max" val="0"/>
        <color rgb="FF63BE7B"/>
        <color rgb="FFFFEB84"/>
        <color rgb="FFF8696B"/>
      </colorScale>
    </cfRule>
  </conditionalFormatting>
  <conditionalFormatting sqref="U29:AN36">
    <cfRule type="colorScale" priority="6">
      <colorScale>
        <cfvo type="min" val="0"/>
        <cfvo type="percentile" val="50"/>
        <cfvo type="max" val="0"/>
        <color rgb="FF63BE7B"/>
        <color rgb="FFFFEB84"/>
        <color rgb="FFF8696B"/>
      </colorScale>
    </cfRule>
  </conditionalFormatting>
  <conditionalFormatting sqref="AJ29:AN36">
    <cfRule type="colorScale" priority="5">
      <colorScale>
        <cfvo type="min" val="0"/>
        <cfvo type="percentile" val="50"/>
        <cfvo type="max" val="0"/>
        <color rgb="FF63BE7B"/>
        <color rgb="FFFFEB84"/>
        <color rgb="FFF8696B"/>
      </colorScale>
    </cfRule>
  </conditionalFormatting>
  <conditionalFormatting sqref="U29:AI36">
    <cfRule type="colorScale" priority="4">
      <colorScale>
        <cfvo type="min" val="0"/>
        <cfvo type="percentile" val="50"/>
        <cfvo type="max" val="0"/>
        <color rgb="FF63BE7B"/>
        <color rgb="FFFFEB84"/>
        <color rgb="FFF8696B"/>
      </colorScale>
    </cfRule>
  </conditionalFormatting>
  <conditionalFormatting sqref="U7:AI14">
    <cfRule type="colorScale" priority="3">
      <colorScale>
        <cfvo type="min" val="0"/>
        <cfvo type="percentile" val="50"/>
        <cfvo type="max" val="0"/>
        <color rgb="FF63BE7B"/>
        <color rgb="FFFFEB84"/>
        <color rgb="FFF8696B"/>
      </colorScale>
    </cfRule>
  </conditionalFormatting>
  <conditionalFormatting sqref="U7:AN14">
    <cfRule type="colorScale" priority="2">
      <colorScale>
        <cfvo type="min" val="0"/>
        <cfvo type="percentile" val="50"/>
        <cfvo type="max" val="0"/>
        <color rgb="FF63BE7B"/>
        <color rgb="FFFFEB84"/>
        <color rgb="FFF8696B"/>
      </colorScale>
    </cfRule>
  </conditionalFormatting>
  <conditionalFormatting sqref="U30:AN36">
    <cfRule type="colorScale" priority="1">
      <colorScale>
        <cfvo type="min" val="0"/>
        <cfvo type="percentile" val="50"/>
        <cfvo type="max" val="0"/>
        <color rgb="FF63BE7B"/>
        <color rgb="FFFFEB84"/>
        <color rgb="FFF8696B"/>
      </colorScale>
    </cfRule>
  </conditionalFormatting>
  <hyperlinks>
    <hyperlink ref="Y1" r:id="rId1" location="text64"/>
    <hyperlink ref="AT31" r:id="rId2"/>
    <hyperlink ref="AT70" r:id="rId3"/>
    <hyperlink ref="A177" r:id="rId4" location="text50 "/>
    <hyperlink ref="F224" r:id="rId5"/>
    <hyperlink ref="F226" r:id="rId6"/>
    <hyperlink ref="F228" r:id="rId7"/>
    <hyperlink ref="M243" r:id="rId8"/>
    <hyperlink ref="F233" r:id="rId9"/>
    <hyperlink ref="G236" r:id="rId10"/>
    <hyperlink ref="H237" r:id="rId11"/>
    <hyperlink ref="O66" r:id="rId12"/>
    <hyperlink ref="O103" r:id="rId13" location="text23"/>
    <hyperlink ref="R109" r:id="rId14"/>
    <hyperlink ref="AJ69" r:id="rId15"/>
  </hyperlinks>
  <pageMargins left="0.7" right="0.7" top="0.78740157499999996" bottom="0.78740157499999996" header="0.3" footer="0.3"/>
  <ignoredErrors>
    <ignoredError sqref="H182:H188 B125:M125" formula="1"/>
  </ignoredErrors>
  <drawing r:id="rId16"/>
</worksheet>
</file>

<file path=xl/worksheets/sheet6.xml><?xml version="1.0" encoding="utf-8"?>
<worksheet xmlns="http://schemas.openxmlformats.org/spreadsheetml/2006/main" xmlns:r="http://schemas.openxmlformats.org/officeDocument/2006/relationships">
  <dimension ref="A1:M25"/>
  <sheetViews>
    <sheetView workbookViewId="0">
      <selection activeCell="I15" sqref="I15"/>
    </sheetView>
  </sheetViews>
  <sheetFormatPr defaultRowHeight="15"/>
  <cols>
    <col min="1" max="1" width="31.5703125" style="243" customWidth="1"/>
    <col min="2" max="16384" width="9.140625" style="243"/>
  </cols>
  <sheetData>
    <row r="1" spans="1:13">
      <c r="A1" s="86" t="s">
        <v>597</v>
      </c>
      <c r="F1" s="243" t="s">
        <v>705</v>
      </c>
    </row>
    <row r="2" spans="1:13">
      <c r="A2" s="244" t="s">
        <v>703</v>
      </c>
    </row>
    <row r="3" spans="1:13">
      <c r="A3" s="244" t="s">
        <v>704</v>
      </c>
    </row>
    <row r="5" spans="1:13">
      <c r="A5" s="247" t="s">
        <v>702</v>
      </c>
      <c r="B5" s="251">
        <f>15/B6</f>
        <v>300</v>
      </c>
      <c r="C5" s="251">
        <f t="shared" ref="C5:M5" si="0">15/C6</f>
        <v>150</v>
      </c>
      <c r="D5" s="251">
        <f t="shared" si="0"/>
        <v>100</v>
      </c>
      <c r="E5" s="248">
        <f t="shared" si="0"/>
        <v>75</v>
      </c>
      <c r="F5" s="251">
        <f t="shared" si="0"/>
        <v>60</v>
      </c>
      <c r="G5" s="251">
        <f t="shared" si="0"/>
        <v>50</v>
      </c>
      <c r="H5" s="251">
        <f t="shared" si="0"/>
        <v>42.857142857142861</v>
      </c>
      <c r="I5" s="251">
        <f t="shared" si="0"/>
        <v>37.5</v>
      </c>
      <c r="J5" s="251">
        <f t="shared" si="0"/>
        <v>33.333333333333336</v>
      </c>
      <c r="K5" s="251">
        <f t="shared" si="0"/>
        <v>30</v>
      </c>
      <c r="L5" s="251">
        <f t="shared" si="0"/>
        <v>27.27272727272727</v>
      </c>
      <c r="M5" s="251">
        <f t="shared" si="0"/>
        <v>25</v>
      </c>
    </row>
    <row r="6" spans="1:13">
      <c r="A6" s="247" t="s">
        <v>699</v>
      </c>
      <c r="B6" s="252">
        <v>0.05</v>
      </c>
      <c r="C6" s="212">
        <v>0.1</v>
      </c>
      <c r="D6" s="252">
        <v>0.15</v>
      </c>
      <c r="E6" s="212">
        <v>0.2</v>
      </c>
      <c r="F6" s="252">
        <v>0.25</v>
      </c>
      <c r="G6" s="212">
        <v>0.3</v>
      </c>
      <c r="H6" s="252">
        <v>0.35</v>
      </c>
      <c r="I6" s="252">
        <v>0.4</v>
      </c>
      <c r="J6" s="252">
        <v>0.45</v>
      </c>
      <c r="K6" s="252">
        <v>0.5</v>
      </c>
      <c r="L6" s="252">
        <v>0.55000000000000004</v>
      </c>
      <c r="M6" s="252">
        <v>0.6</v>
      </c>
    </row>
    <row r="7" spans="1:13">
      <c r="B7" s="243">
        <v>0.32117263654331357</v>
      </c>
      <c r="C7" s="243">
        <v>0.58277151741435851</v>
      </c>
      <c r="D7" s="243">
        <v>0.76822127959737574</v>
      </c>
      <c r="E7" s="243">
        <v>0.89195297549659947</v>
      </c>
      <c r="F7" s="243">
        <v>0.97384120974179311</v>
      </c>
      <c r="G7" s="243">
        <v>1.0289915108550529</v>
      </c>
      <c r="H7" s="243">
        <v>1.0671453627817764</v>
      </c>
      <c r="I7" s="145">
        <v>1.0943058062101276</v>
      </c>
      <c r="J7" s="243">
        <v>1.1141720290623112</v>
      </c>
      <c r="K7" s="243">
        <v>1.1290648942424721</v>
      </c>
      <c r="L7" s="243">
        <v>1.1404765548536266</v>
      </c>
      <c r="M7" s="243">
        <v>1.1493915422653818</v>
      </c>
    </row>
    <row r="8" spans="1:13">
      <c r="A8" s="179" t="s">
        <v>692</v>
      </c>
      <c r="B8" s="180">
        <v>6.4234527308662708</v>
      </c>
      <c r="C8" s="248">
        <v>5.8277151741435853</v>
      </c>
      <c r="D8" s="180">
        <v>5.1214751973158386</v>
      </c>
      <c r="E8" s="248">
        <v>4.4597648774829972</v>
      </c>
      <c r="F8" s="180">
        <v>3.8953648389671724</v>
      </c>
      <c r="G8" s="248">
        <v>3.4299717028501764</v>
      </c>
      <c r="H8" s="180">
        <v>3.0489867508050756</v>
      </c>
      <c r="I8" s="180">
        <v>2.735764515525319</v>
      </c>
      <c r="J8" s="180">
        <v>2.4759378423606915</v>
      </c>
      <c r="K8" s="180">
        <v>2.2581297884849443</v>
      </c>
      <c r="L8" s="180">
        <v>2.0735937360975027</v>
      </c>
      <c r="M8" s="180">
        <v>1.9156525704423029</v>
      </c>
    </row>
    <row r="9" spans="1:13">
      <c r="A9" s="179" t="s">
        <v>698</v>
      </c>
      <c r="B9" s="180">
        <v>4.2040641209020322</v>
      </c>
      <c r="C9" s="180">
        <v>4.4671517578137916</v>
      </c>
      <c r="D9" s="180">
        <v>4.2455749378495211</v>
      </c>
      <c r="E9" s="180">
        <v>3.8790028092177198</v>
      </c>
      <c r="F9" s="180">
        <v>3.497563680848967</v>
      </c>
      <c r="G9" s="180">
        <v>3.1482880133528441</v>
      </c>
      <c r="H9" s="180">
        <v>2.8432196039890014</v>
      </c>
      <c r="I9" s="180">
        <v>2.5812055043711655</v>
      </c>
      <c r="J9" s="180">
        <v>2.3569701326295558</v>
      </c>
      <c r="K9" s="180">
        <v>2.1645878883503267</v>
      </c>
      <c r="L9" s="180">
        <v>1.9986693138475113</v>
      </c>
      <c r="M9" s="180">
        <v>1.8546632372616036</v>
      </c>
    </row>
    <row r="10" spans="1:13">
      <c r="A10" s="242" t="s">
        <v>697</v>
      </c>
      <c r="B10" s="243">
        <f t="shared" ref="B10:L10" si="1">B8/C8</f>
        <v>1.1022248924185338</v>
      </c>
      <c r="C10" s="243">
        <f t="shared" si="1"/>
        <v>1.1378977637532808</v>
      </c>
      <c r="D10" s="243">
        <f t="shared" si="1"/>
        <v>1.1483733645183325</v>
      </c>
      <c r="E10" s="243">
        <f t="shared" si="1"/>
        <v>1.1448901609599864</v>
      </c>
      <c r="F10" s="243">
        <f t="shared" si="1"/>
        <v>1.1356842494444697</v>
      </c>
      <c r="G10" s="243">
        <f t="shared" si="1"/>
        <v>1.1249546105585742</v>
      </c>
      <c r="H10" s="243">
        <f t="shared" si="1"/>
        <v>1.1144916653104597</v>
      </c>
      <c r="I10" s="243">
        <f t="shared" si="1"/>
        <v>1.1049407092210743</v>
      </c>
      <c r="J10" s="243">
        <f t="shared" si="1"/>
        <v>1.096455064268862</v>
      </c>
      <c r="K10" s="243">
        <f t="shared" si="1"/>
        <v>1.0889933496494535</v>
      </c>
      <c r="L10" s="243">
        <f t="shared" si="1"/>
        <v>1.0824477089907452</v>
      </c>
    </row>
    <row r="11" spans="1:13">
      <c r="D11" s="244"/>
      <c r="E11" s="244"/>
    </row>
    <row r="12" spans="1:13">
      <c r="D12" s="244"/>
      <c r="E12" s="244"/>
    </row>
    <row r="14" spans="1:13">
      <c r="B14" s="92"/>
      <c r="C14" s="92" t="s">
        <v>608</v>
      </c>
      <c r="D14" s="92" t="s">
        <v>124</v>
      </c>
      <c r="E14" s="92" t="s">
        <v>322</v>
      </c>
      <c r="F14" s="92" t="s">
        <v>610</v>
      </c>
    </row>
    <row r="15" spans="1:13">
      <c r="B15" s="92" t="s">
        <v>696</v>
      </c>
      <c r="C15" s="92"/>
      <c r="D15" s="92">
        <v>15</v>
      </c>
      <c r="E15" s="92">
        <v>0.2</v>
      </c>
      <c r="F15" s="92">
        <f>D15/E15</f>
        <v>75</v>
      </c>
      <c r="G15" s="243" t="s">
        <v>695</v>
      </c>
    </row>
    <row r="16" spans="1:13">
      <c r="B16" s="165">
        <v>1</v>
      </c>
      <c r="C16" s="166">
        <v>0.2</v>
      </c>
      <c r="D16" s="166">
        <f>D15/4</f>
        <v>3.75</v>
      </c>
      <c r="E16" s="166">
        <v>4.4597648774829972</v>
      </c>
      <c r="F16" s="167">
        <f>D16*E16</f>
        <v>16.72411829056124</v>
      </c>
    </row>
    <row r="17" spans="2:8">
      <c r="B17" s="179">
        <v>2</v>
      </c>
      <c r="C17" s="180">
        <v>0.2</v>
      </c>
      <c r="D17" s="180">
        <f>D16</f>
        <v>3.75</v>
      </c>
      <c r="E17" s="180">
        <v>4.4597648774829972</v>
      </c>
      <c r="F17" s="202">
        <f>D17*E17</f>
        <v>16.72411829056124</v>
      </c>
    </row>
    <row r="18" spans="2:8">
      <c r="B18" s="179">
        <v>3</v>
      </c>
      <c r="C18" s="180">
        <v>0.2</v>
      </c>
      <c r="D18" s="180">
        <f>D17</f>
        <v>3.75</v>
      </c>
      <c r="E18" s="180">
        <v>4.4597648774829972</v>
      </c>
      <c r="F18" s="202">
        <f>D18*E18</f>
        <v>16.72411829056124</v>
      </c>
    </row>
    <row r="19" spans="2:8">
      <c r="B19" s="168">
        <v>4</v>
      </c>
      <c r="C19" s="235">
        <v>0.2</v>
      </c>
      <c r="D19" s="235">
        <f>D18</f>
        <v>3.75</v>
      </c>
      <c r="E19" s="235">
        <v>4.4597648774829972</v>
      </c>
      <c r="F19" s="170">
        <f>D19*E19</f>
        <v>16.72411829056124</v>
      </c>
      <c r="G19" s="243">
        <f>SUM(F16:F19)</f>
        <v>66.896473162244959</v>
      </c>
      <c r="H19" s="243" t="s">
        <v>700</v>
      </c>
    </row>
    <row r="21" spans="2:8">
      <c r="B21" s="165">
        <v>1</v>
      </c>
      <c r="C21" s="166">
        <v>0.1</v>
      </c>
      <c r="D21" s="166">
        <f>D16*0.5</f>
        <v>1.875</v>
      </c>
      <c r="E21" s="166">
        <v>5.8277151741435853</v>
      </c>
      <c r="F21" s="167">
        <f>D21*E21</f>
        <v>10.926965951519222</v>
      </c>
    </row>
    <row r="22" spans="2:8">
      <c r="B22" s="179">
        <v>2</v>
      </c>
      <c r="C22" s="180">
        <v>0.2</v>
      </c>
      <c r="D22" s="180">
        <f>D17</f>
        <v>3.75</v>
      </c>
      <c r="E22" s="180">
        <v>4.4597648774829972</v>
      </c>
      <c r="F22" s="202">
        <f>D22*E22</f>
        <v>16.72411829056124</v>
      </c>
    </row>
    <row r="23" spans="2:8">
      <c r="B23" s="179">
        <v>3</v>
      </c>
      <c r="C23" s="180">
        <v>0.2</v>
      </c>
      <c r="D23" s="180">
        <f>D18</f>
        <v>3.75</v>
      </c>
      <c r="E23" s="180">
        <v>4.4597648774829972</v>
      </c>
      <c r="F23" s="202">
        <f>D23*E23</f>
        <v>16.72411829056124</v>
      </c>
    </row>
    <row r="24" spans="2:8">
      <c r="B24" s="168">
        <v>4</v>
      </c>
      <c r="C24" s="235">
        <v>0.3</v>
      </c>
      <c r="D24" s="235">
        <f>D19*1.5</f>
        <v>5.625</v>
      </c>
      <c r="E24" s="235">
        <v>3.4299717028501764</v>
      </c>
      <c r="F24" s="170">
        <f>D24*E24</f>
        <v>19.293590828532242</v>
      </c>
      <c r="G24" s="243">
        <f>SUM(F21:F24)</f>
        <v>63.66879336117394</v>
      </c>
      <c r="H24" s="243" t="s">
        <v>701</v>
      </c>
    </row>
    <row r="25" spans="2:8">
      <c r="G25" s="244">
        <f>G24/G19</f>
        <v>0.95175112156895203</v>
      </c>
      <c r="H25" s="244" t="s">
        <v>694</v>
      </c>
    </row>
  </sheetData>
  <hyperlinks>
    <hyperlink ref="A1" r:id="rId1"/>
  </hyperlinks>
  <pageMargins left="0.7" right="0.7" top="0.78740157499999996" bottom="0.78740157499999996" header="0.3" footer="0.3"/>
  <drawing r:id="rId2"/>
</worksheet>
</file>

<file path=xl/worksheets/sheet7.xml><?xml version="1.0" encoding="utf-8"?>
<worksheet xmlns="http://schemas.openxmlformats.org/spreadsheetml/2006/main" xmlns:r="http://schemas.openxmlformats.org/officeDocument/2006/relationships">
  <dimension ref="A1:AD99"/>
  <sheetViews>
    <sheetView topLeftCell="A79" workbookViewId="0">
      <selection activeCell="G94" sqref="G94"/>
    </sheetView>
  </sheetViews>
  <sheetFormatPr defaultColWidth="6.140625" defaultRowHeight="15"/>
  <cols>
    <col min="1" max="16384" width="6.140625" style="190"/>
  </cols>
  <sheetData>
    <row r="1" spans="1:30">
      <c r="A1" s="86" t="s">
        <v>597</v>
      </c>
      <c r="I1" s="190" t="s">
        <v>600</v>
      </c>
      <c r="Q1" s="2" t="s">
        <v>171</v>
      </c>
      <c r="R1" s="1"/>
      <c r="S1" s="1"/>
    </row>
    <row r="2" spans="1:30" ht="15.75" thickBot="1">
      <c r="E2" s="9" t="s">
        <v>596</v>
      </c>
      <c r="H2" s="9" t="s">
        <v>1</v>
      </c>
      <c r="J2" s="1" t="s">
        <v>172</v>
      </c>
      <c r="Q2" s="1" t="s">
        <v>172</v>
      </c>
      <c r="R2" s="8" t="s">
        <v>2</v>
      </c>
      <c r="S2" s="9" t="s">
        <v>1</v>
      </c>
      <c r="U2" s="1" t="s">
        <v>172</v>
      </c>
      <c r="V2" s="9" t="s">
        <v>596</v>
      </c>
      <c r="W2" s="9" t="s">
        <v>1</v>
      </c>
    </row>
    <row r="3" spans="1:30">
      <c r="E3" s="3">
        <v>1.667</v>
      </c>
      <c r="H3" s="3">
        <v>1.04</v>
      </c>
      <c r="J3" s="1">
        <f>E3*60/1000/SQRT(H3/104)</f>
        <v>1.0002</v>
      </c>
      <c r="Q3" s="1">
        <f>R3/1000/SQRT(S3/104)</f>
        <v>0.50756561855868165</v>
      </c>
      <c r="R3" s="3">
        <v>102</v>
      </c>
      <c r="S3" s="3">
        <v>4.2</v>
      </c>
      <c r="U3" s="1">
        <f>V3*60/1000/SQRT(W3/104)</f>
        <v>0.50756561855868165</v>
      </c>
      <c r="V3" s="3">
        <f>102/60</f>
        <v>1.7</v>
      </c>
      <c r="W3" s="3">
        <v>4.2</v>
      </c>
    </row>
    <row r="4" spans="1:30" ht="15.75" thickBot="1">
      <c r="E4" s="9" t="s">
        <v>596</v>
      </c>
      <c r="G4" s="9" t="s">
        <v>1</v>
      </c>
      <c r="I4" s="1" t="s">
        <v>172</v>
      </c>
    </row>
    <row r="5" spans="1:30">
      <c r="E5" s="154">
        <f>1000/60</f>
        <v>16.666666666666668</v>
      </c>
      <c r="G5" s="154">
        <v>104</v>
      </c>
      <c r="I5" s="1">
        <f>E5*60/1000/SQRT(G5/104)</f>
        <v>1.0000000000000002</v>
      </c>
    </row>
    <row r="6" spans="1:30">
      <c r="A6" s="86" t="s">
        <v>595</v>
      </c>
      <c r="H6" s="71">
        <v>10</v>
      </c>
      <c r="I6" s="71" t="s">
        <v>647</v>
      </c>
    </row>
    <row r="7" spans="1:30">
      <c r="A7" s="104"/>
      <c r="B7" s="92" t="s">
        <v>594</v>
      </c>
      <c r="C7" s="104" t="s">
        <v>124</v>
      </c>
      <c r="D7" s="104" t="s">
        <v>16</v>
      </c>
      <c r="E7" s="104" t="s">
        <v>287</v>
      </c>
      <c r="F7" s="104" t="s">
        <v>593</v>
      </c>
      <c r="G7" s="92" t="s">
        <v>592</v>
      </c>
      <c r="H7" s="92" t="s">
        <v>591</v>
      </c>
      <c r="I7" s="92" t="s">
        <v>590</v>
      </c>
      <c r="J7" s="92" t="s">
        <v>589</v>
      </c>
    </row>
    <row r="8" spans="1:30">
      <c r="A8" s="208" t="s">
        <v>588</v>
      </c>
      <c r="B8" s="190">
        <f t="shared" ref="B8:B19" si="0">C8/D8</f>
        <v>0.14948453608247422</v>
      </c>
      <c r="C8" s="190">
        <v>14.5</v>
      </c>
      <c r="D8" s="190">
        <v>97</v>
      </c>
      <c r="E8" s="190">
        <v>1.7</v>
      </c>
      <c r="F8" s="190">
        <v>13</v>
      </c>
      <c r="G8" s="190">
        <f t="shared" ref="G8:G19" si="1">5000*D8*E8^1.73/F8^4.65</f>
        <v>8.0275271737716487</v>
      </c>
      <c r="H8" s="190">
        <f t="shared" ref="H8:H19" si="2">H$6-G8</f>
        <v>1.9724728262283513</v>
      </c>
      <c r="I8" s="1">
        <f t="shared" ref="I8:I19" si="3">E8*60/1000/SQRT(G8/104)</f>
        <v>0.367135135471996</v>
      </c>
      <c r="J8" s="1">
        <f t="shared" ref="J8:J19" si="4">E8*60/1000/SQRT(H8/104)</f>
        <v>0.74064710047975635</v>
      </c>
      <c r="L8" s="71" t="s">
        <v>598</v>
      </c>
    </row>
    <row r="9" spans="1:30">
      <c r="A9" s="208" t="s">
        <v>587</v>
      </c>
      <c r="B9" s="190">
        <f t="shared" si="0"/>
        <v>0.14948453608247422</v>
      </c>
      <c r="C9" s="190">
        <v>14.5</v>
      </c>
      <c r="D9" s="190">
        <v>97</v>
      </c>
      <c r="E9" s="190">
        <v>1.7</v>
      </c>
      <c r="F9" s="190">
        <v>13</v>
      </c>
      <c r="G9" s="190">
        <f t="shared" si="1"/>
        <v>8.0275271737716487</v>
      </c>
      <c r="H9" s="190">
        <f t="shared" si="2"/>
        <v>1.9724728262283513</v>
      </c>
      <c r="I9" s="1">
        <f t="shared" si="3"/>
        <v>0.367135135471996</v>
      </c>
      <c r="J9" s="1">
        <f t="shared" si="4"/>
        <v>0.74064710047975635</v>
      </c>
    </row>
    <row r="10" spans="1:30">
      <c r="A10" s="190" t="s">
        <v>586</v>
      </c>
      <c r="B10" s="190">
        <f t="shared" si="0"/>
        <v>0.15</v>
      </c>
      <c r="C10" s="190">
        <v>9</v>
      </c>
      <c r="D10" s="190">
        <v>60</v>
      </c>
      <c r="E10" s="190">
        <v>1.1000000000000001</v>
      </c>
      <c r="F10" s="190">
        <v>13</v>
      </c>
      <c r="G10" s="190">
        <f t="shared" si="1"/>
        <v>2.3382665225330674</v>
      </c>
      <c r="H10" s="190">
        <f t="shared" si="2"/>
        <v>7.6617334774669326</v>
      </c>
      <c r="I10" s="1">
        <f t="shared" si="3"/>
        <v>0.44016306711995784</v>
      </c>
      <c r="J10" s="1">
        <f t="shared" si="4"/>
        <v>0.24316277164367175</v>
      </c>
    </row>
    <row r="11" spans="1:30">
      <c r="A11" s="190" t="s">
        <v>585</v>
      </c>
      <c r="B11" s="71">
        <f t="shared" si="0"/>
        <v>0.23333333333333334</v>
      </c>
      <c r="C11" s="190">
        <v>7</v>
      </c>
      <c r="D11" s="190">
        <v>30</v>
      </c>
      <c r="E11" s="190">
        <v>0.3</v>
      </c>
      <c r="F11" s="190">
        <v>13</v>
      </c>
      <c r="G11" s="190">
        <f t="shared" si="1"/>
        <v>0.12350212820892845</v>
      </c>
      <c r="H11" s="190">
        <f t="shared" si="2"/>
        <v>9.8764978717910719</v>
      </c>
      <c r="I11" s="1">
        <f t="shared" si="3"/>
        <v>0.52233839951055872</v>
      </c>
      <c r="J11" s="1">
        <f t="shared" si="4"/>
        <v>5.8410064727821141E-2</v>
      </c>
      <c r="R11" s="190" t="s">
        <v>584</v>
      </c>
    </row>
    <row r="12" spans="1:30">
      <c r="A12" s="190" t="s">
        <v>583</v>
      </c>
      <c r="B12" s="190">
        <f t="shared" si="0"/>
        <v>0.15</v>
      </c>
      <c r="C12" s="190">
        <v>13.5</v>
      </c>
      <c r="D12" s="190">
        <v>90</v>
      </c>
      <c r="E12" s="190">
        <v>1.6</v>
      </c>
      <c r="F12" s="190">
        <v>13</v>
      </c>
      <c r="G12" s="190">
        <f t="shared" si="1"/>
        <v>6.7066168469286547</v>
      </c>
      <c r="H12" s="190">
        <f t="shared" si="2"/>
        <v>3.2933831530713453</v>
      </c>
      <c r="I12" s="1">
        <f t="shared" si="3"/>
        <v>0.37803860762035252</v>
      </c>
      <c r="J12" s="1">
        <f t="shared" si="4"/>
        <v>0.53946934708848038</v>
      </c>
      <c r="R12" s="86" t="s">
        <v>403</v>
      </c>
      <c r="X12" s="86" t="s">
        <v>402</v>
      </c>
    </row>
    <row r="13" spans="1:30">
      <c r="A13" s="190" t="s">
        <v>582</v>
      </c>
      <c r="B13" s="190">
        <f t="shared" si="0"/>
        <v>0.15</v>
      </c>
      <c r="C13" s="190">
        <v>13.5</v>
      </c>
      <c r="D13" s="190">
        <v>90</v>
      </c>
      <c r="E13" s="190">
        <v>1.6</v>
      </c>
      <c r="F13" s="190">
        <v>13</v>
      </c>
      <c r="G13" s="190">
        <f t="shared" si="1"/>
        <v>6.7066168469286547</v>
      </c>
      <c r="H13" s="190">
        <f t="shared" si="2"/>
        <v>3.2933831530713453</v>
      </c>
      <c r="I13" s="1">
        <f t="shared" si="3"/>
        <v>0.37803860762035252</v>
      </c>
      <c r="J13" s="1">
        <f t="shared" si="4"/>
        <v>0.53946934708848038</v>
      </c>
      <c r="R13" s="86"/>
      <c r="U13" s="86" t="s">
        <v>401</v>
      </c>
    </row>
    <row r="14" spans="1:30">
      <c r="A14" s="190" t="s">
        <v>581</v>
      </c>
      <c r="B14" s="190">
        <f t="shared" si="0"/>
        <v>0.14861111111111111</v>
      </c>
      <c r="C14" s="190">
        <v>10.7</v>
      </c>
      <c r="D14" s="190">
        <v>72</v>
      </c>
      <c r="E14" s="190">
        <v>1.3</v>
      </c>
      <c r="F14" s="190">
        <v>13</v>
      </c>
      <c r="G14" s="190">
        <f t="shared" si="1"/>
        <v>3.7461737125769576</v>
      </c>
      <c r="H14" s="190">
        <f t="shared" si="2"/>
        <v>6.2538262874230419</v>
      </c>
      <c r="I14" s="1">
        <f t="shared" si="3"/>
        <v>0.41097680951961435</v>
      </c>
      <c r="J14" s="1">
        <f t="shared" si="4"/>
        <v>0.31808146685630367</v>
      </c>
    </row>
    <row r="15" spans="1:30">
      <c r="A15" s="190" t="s">
        <v>580</v>
      </c>
      <c r="B15" s="190">
        <f t="shared" si="0"/>
        <v>0.15</v>
      </c>
      <c r="C15" s="190">
        <v>9</v>
      </c>
      <c r="D15" s="190">
        <v>60</v>
      </c>
      <c r="E15" s="190">
        <v>1.1000000000000001</v>
      </c>
      <c r="F15" s="190">
        <v>13</v>
      </c>
      <c r="G15" s="190">
        <f t="shared" si="1"/>
        <v>2.3382665225330674</v>
      </c>
      <c r="H15" s="190">
        <f t="shared" si="2"/>
        <v>7.6617334774669326</v>
      </c>
      <c r="I15" s="1">
        <f t="shared" si="3"/>
        <v>0.44016306711995784</v>
      </c>
      <c r="J15" s="1">
        <f t="shared" si="4"/>
        <v>0.24316277164367175</v>
      </c>
      <c r="R15" s="190" t="s">
        <v>212</v>
      </c>
      <c r="Y15" s="190">
        <v>1</v>
      </c>
    </row>
    <row r="16" spans="1:30">
      <c r="A16" s="190" t="s">
        <v>579</v>
      </c>
      <c r="B16" s="190">
        <f t="shared" si="0"/>
        <v>0.15</v>
      </c>
      <c r="C16" s="190">
        <v>13.5</v>
      </c>
      <c r="D16" s="190">
        <v>90</v>
      </c>
      <c r="E16" s="190">
        <v>1.6</v>
      </c>
      <c r="F16" s="190">
        <v>13</v>
      </c>
      <c r="G16" s="190">
        <f t="shared" si="1"/>
        <v>6.7066168469286547</v>
      </c>
      <c r="H16" s="190">
        <f t="shared" si="2"/>
        <v>3.2933831530713453</v>
      </c>
      <c r="I16" s="1">
        <f t="shared" si="3"/>
        <v>0.37803860762035252</v>
      </c>
      <c r="J16" s="1">
        <f t="shared" si="4"/>
        <v>0.53946934708848038</v>
      </c>
      <c r="R16" s="190" t="s">
        <v>578</v>
      </c>
      <c r="S16" s="190" t="s">
        <v>382</v>
      </c>
      <c r="T16" s="190" t="s">
        <v>381</v>
      </c>
      <c r="U16" s="154" t="s">
        <v>16</v>
      </c>
      <c r="V16" s="154" t="s">
        <v>287</v>
      </c>
      <c r="W16" s="154" t="s">
        <v>577</v>
      </c>
      <c r="Y16" s="190" t="s">
        <v>1</v>
      </c>
      <c r="AB16" s="190" t="s">
        <v>244</v>
      </c>
      <c r="AD16" s="190" t="s">
        <v>599</v>
      </c>
    </row>
    <row r="17" spans="1:30">
      <c r="A17" s="190" t="s">
        <v>576</v>
      </c>
      <c r="B17" s="190">
        <f t="shared" si="0"/>
        <v>0.15</v>
      </c>
      <c r="C17" s="190">
        <v>13.5</v>
      </c>
      <c r="D17" s="190">
        <v>90</v>
      </c>
      <c r="E17" s="190">
        <v>1.6</v>
      </c>
      <c r="F17" s="190">
        <v>13</v>
      </c>
      <c r="G17" s="190">
        <f t="shared" si="1"/>
        <v>6.7066168469286547</v>
      </c>
      <c r="H17" s="190">
        <f t="shared" si="2"/>
        <v>3.2933831530713453</v>
      </c>
      <c r="I17" s="1">
        <f t="shared" si="3"/>
        <v>0.37803860762035252</v>
      </c>
      <c r="J17" s="1">
        <f t="shared" si="4"/>
        <v>0.53946934708848038</v>
      </c>
      <c r="R17" s="190">
        <v>10</v>
      </c>
      <c r="S17" s="190">
        <v>60</v>
      </c>
      <c r="T17" s="190">
        <v>13</v>
      </c>
      <c r="U17" s="190">
        <v>100</v>
      </c>
      <c r="V17" s="190">
        <f>S17/60</f>
        <v>1</v>
      </c>
      <c r="W17" s="190">
        <f>R17</f>
        <v>10</v>
      </c>
      <c r="Y17" s="190">
        <f>5000*U17*V17^1.73/W17^4.65</f>
        <v>11.193605692841679</v>
      </c>
      <c r="Z17" s="190">
        <f>T17/10</f>
        <v>1.3</v>
      </c>
      <c r="AA17" s="190">
        <f>Z17/Y17</f>
        <v>0.11613773395925062</v>
      </c>
      <c r="AB17" s="1">
        <f>V17*60/1000/SQRT(Y17/104)</f>
        <v>0.18288703447829255</v>
      </c>
      <c r="AD17" s="190" t="s">
        <v>601</v>
      </c>
    </row>
    <row r="18" spans="1:30">
      <c r="A18" s="190" t="s">
        <v>575</v>
      </c>
      <c r="B18" s="190">
        <f t="shared" si="0"/>
        <v>0.14939759036144579</v>
      </c>
      <c r="C18" s="190">
        <v>12.4</v>
      </c>
      <c r="D18" s="190">
        <v>83</v>
      </c>
      <c r="E18" s="190">
        <v>1.5</v>
      </c>
      <c r="F18" s="190">
        <v>13</v>
      </c>
      <c r="G18" s="190">
        <f t="shared" si="1"/>
        <v>5.5315824064170975</v>
      </c>
      <c r="H18" s="190">
        <f t="shared" si="2"/>
        <v>4.4684175935829025</v>
      </c>
      <c r="I18" s="1">
        <f t="shared" si="3"/>
        <v>0.39024242863163544</v>
      </c>
      <c r="J18" s="1">
        <f t="shared" si="4"/>
        <v>0.43419248512091535</v>
      </c>
      <c r="R18" s="190">
        <v>12</v>
      </c>
      <c r="S18" s="190">
        <v>86</v>
      </c>
      <c r="T18" s="190">
        <v>10</v>
      </c>
      <c r="U18" s="190">
        <v>100</v>
      </c>
      <c r="V18" s="190">
        <f>S18/60</f>
        <v>1.4333333333333333</v>
      </c>
      <c r="W18" s="190">
        <f>R18</f>
        <v>12</v>
      </c>
      <c r="Y18" s="190">
        <f>5000*U18*V18^1.73/W18^4.65</f>
        <v>8.9383605237639614</v>
      </c>
      <c r="Z18" s="190">
        <f>T18/10</f>
        <v>1</v>
      </c>
      <c r="AA18" s="190">
        <f>Z18/Y18</f>
        <v>0.11187734007163296</v>
      </c>
      <c r="AB18" s="1">
        <f>V18*60/1000/SQRT(Y18/104)</f>
        <v>0.29335006382419437</v>
      </c>
    </row>
    <row r="19" spans="1:30">
      <c r="A19" s="190" t="s">
        <v>574</v>
      </c>
      <c r="B19" s="190">
        <f t="shared" si="0"/>
        <v>0.15</v>
      </c>
      <c r="C19" s="190">
        <v>9</v>
      </c>
      <c r="D19" s="190">
        <v>60</v>
      </c>
      <c r="E19" s="190">
        <v>1.1000000000000001</v>
      </c>
      <c r="F19" s="190">
        <v>13</v>
      </c>
      <c r="G19" s="190">
        <f t="shared" si="1"/>
        <v>2.3382665225330674</v>
      </c>
      <c r="H19" s="190">
        <f t="shared" si="2"/>
        <v>7.6617334774669326</v>
      </c>
      <c r="I19" s="1">
        <f t="shared" si="3"/>
        <v>0.44016306711995784</v>
      </c>
      <c r="J19" s="1">
        <f t="shared" si="4"/>
        <v>0.24316277164367175</v>
      </c>
      <c r="R19" s="190">
        <v>14</v>
      </c>
      <c r="S19" s="190">
        <v>135</v>
      </c>
      <c r="T19" s="190">
        <v>10</v>
      </c>
      <c r="U19" s="190">
        <v>100</v>
      </c>
      <c r="V19" s="190">
        <f>S19/60</f>
        <v>2.25</v>
      </c>
      <c r="W19" s="190">
        <f>R19</f>
        <v>14</v>
      </c>
      <c r="Y19" s="190">
        <f>5000*U19*V19^1.73/W19^4.65</f>
        <v>9.5224871387011927</v>
      </c>
      <c r="Z19" s="190">
        <f>T19/10</f>
        <v>1</v>
      </c>
      <c r="AA19" s="190">
        <f>Z19/Y19</f>
        <v>0.10501458132044206</v>
      </c>
      <c r="AB19" s="1">
        <f>V19*60/1000/SQRT(Y19/104)</f>
        <v>0.44614418906309411</v>
      </c>
    </row>
    <row r="20" spans="1:30">
      <c r="B20" s="165" t="s">
        <v>573</v>
      </c>
      <c r="C20" s="166">
        <f>SUM(C8:C19)</f>
        <v>140.1</v>
      </c>
      <c r="D20" s="166">
        <f>SUM(D8:D19)</f>
        <v>919</v>
      </c>
      <c r="E20" s="167">
        <f>SUM(E8:E19)</f>
        <v>16.2</v>
      </c>
      <c r="R20" s="190">
        <v>15</v>
      </c>
      <c r="S20" s="190">
        <v>160</v>
      </c>
      <c r="T20" s="190">
        <v>10</v>
      </c>
      <c r="U20" s="190">
        <v>100</v>
      </c>
      <c r="V20" s="190">
        <f t="shared" ref="V20:V32" si="5">S20/60</f>
        <v>2.6666666666666665</v>
      </c>
      <c r="W20" s="190">
        <f t="shared" ref="W20:W32" si="6">R20</f>
        <v>15</v>
      </c>
      <c r="Y20" s="190">
        <f t="shared" ref="Y20:Y65" si="7">5000*U20*V20^1.73/W20^4.65</f>
        <v>9.2698254513586313</v>
      </c>
      <c r="Z20" s="190">
        <f t="shared" ref="Z20:Z31" si="8">T20/10</f>
        <v>1</v>
      </c>
      <c r="AA20" s="190">
        <f t="shared" ref="AA20:AA65" si="9">Z20/Y20</f>
        <v>0.10787689641485483</v>
      </c>
      <c r="AB20" s="1">
        <f t="shared" ref="AB20:AB65" si="10">V20*60/1000/SQRT(Y20/104)</f>
        <v>0.53592112200855591</v>
      </c>
    </row>
    <row r="21" spans="1:30">
      <c r="B21" s="179" t="s">
        <v>59</v>
      </c>
      <c r="C21" s="180">
        <v>5.39</v>
      </c>
      <c r="D21" s="180"/>
      <c r="E21" s="202">
        <f>60*E20</f>
        <v>972</v>
      </c>
      <c r="R21" s="190">
        <v>16</v>
      </c>
      <c r="S21" s="190">
        <v>190</v>
      </c>
      <c r="T21" s="190">
        <v>10</v>
      </c>
      <c r="U21" s="190">
        <v>100</v>
      </c>
      <c r="V21" s="190">
        <f t="shared" si="5"/>
        <v>3.1666666666666665</v>
      </c>
      <c r="W21" s="190">
        <f t="shared" si="6"/>
        <v>16</v>
      </c>
      <c r="Y21" s="190">
        <f t="shared" si="7"/>
        <v>9.2438768593757921</v>
      </c>
      <c r="Z21" s="190">
        <f t="shared" si="8"/>
        <v>1</v>
      </c>
      <c r="AA21" s="190">
        <f t="shared" si="9"/>
        <v>0.10817971887906852</v>
      </c>
      <c r="AB21" s="1">
        <f t="shared" si="10"/>
        <v>0.63729893814408223</v>
      </c>
    </row>
    <row r="22" spans="1:30">
      <c r="B22" s="168"/>
      <c r="C22" s="169">
        <f>C21*1000/C20</f>
        <v>38.472519628836544</v>
      </c>
      <c r="D22" s="169" t="s">
        <v>266</v>
      </c>
      <c r="E22" s="170"/>
      <c r="R22" s="190">
        <v>20</v>
      </c>
      <c r="S22" s="190">
        <v>345</v>
      </c>
      <c r="T22" s="190">
        <v>10</v>
      </c>
      <c r="U22" s="190">
        <v>100</v>
      </c>
      <c r="V22" s="190">
        <f t="shared" si="5"/>
        <v>5.75</v>
      </c>
      <c r="W22" s="190">
        <f t="shared" si="6"/>
        <v>20</v>
      </c>
      <c r="Y22" s="190">
        <f t="shared" si="7"/>
        <v>9.1919128019012515</v>
      </c>
      <c r="Z22" s="190">
        <f t="shared" si="8"/>
        <v>1</v>
      </c>
      <c r="AA22" s="190">
        <f t="shared" si="9"/>
        <v>0.10879128442049193</v>
      </c>
      <c r="AB22" s="1">
        <f t="shared" si="10"/>
        <v>1.1604670582689975</v>
      </c>
    </row>
    <row r="23" spans="1:30">
      <c r="G23" s="55" t="s">
        <v>18</v>
      </c>
      <c r="H23" s="20" t="s">
        <v>17</v>
      </c>
      <c r="I23" s="56" t="s">
        <v>16</v>
      </c>
      <c r="J23" s="20" t="s">
        <v>15</v>
      </c>
      <c r="K23" s="20" t="s">
        <v>14</v>
      </c>
      <c r="R23" s="190">
        <v>26</v>
      </c>
      <c r="S23" s="190">
        <v>700</v>
      </c>
      <c r="T23" s="190">
        <v>10</v>
      </c>
      <c r="U23" s="190">
        <v>100</v>
      </c>
      <c r="V23" s="190">
        <f t="shared" si="5"/>
        <v>11.666666666666666</v>
      </c>
      <c r="W23" s="190">
        <f t="shared" si="6"/>
        <v>26</v>
      </c>
      <c r="Y23" s="190">
        <f t="shared" si="7"/>
        <v>9.2291537776649317</v>
      </c>
      <c r="Z23" s="190">
        <f t="shared" si="8"/>
        <v>1</v>
      </c>
      <c r="AA23" s="190">
        <f t="shared" si="9"/>
        <v>0.10835229578903062</v>
      </c>
      <c r="AB23" s="1">
        <f t="shared" si="10"/>
        <v>2.3498155232717735</v>
      </c>
    </row>
    <row r="24" spans="1:30" ht="15.75" thickBot="1">
      <c r="E24" s="190" t="s">
        <v>287</v>
      </c>
      <c r="G24" s="58" t="s">
        <v>4</v>
      </c>
      <c r="H24" s="44"/>
      <c r="I24" s="59"/>
      <c r="J24" s="37"/>
      <c r="K24" s="37"/>
      <c r="U24" s="190">
        <v>100</v>
      </c>
      <c r="V24" s="190">
        <f t="shared" si="5"/>
        <v>0</v>
      </c>
      <c r="W24" s="190">
        <f t="shared" si="6"/>
        <v>0</v>
      </c>
      <c r="AB24" s="1"/>
    </row>
    <row r="25" spans="1:30">
      <c r="E25" s="190">
        <f>SUM(E16:E19)</f>
        <v>5.8000000000000007</v>
      </c>
      <c r="G25" s="190">
        <v>16</v>
      </c>
      <c r="H25" s="190">
        <f>E25/60</f>
        <v>9.6666666666666679E-2</v>
      </c>
      <c r="I25" s="190">
        <v>3</v>
      </c>
      <c r="J25" s="47">
        <f>H25/(G25*G25*3.14/4000)</f>
        <v>0.48102441613588115</v>
      </c>
      <c r="K25" s="47">
        <f>I25*26400/G25^1.27*J25^1.83</f>
        <v>613.5622554922445</v>
      </c>
      <c r="R25" s="190">
        <v>10</v>
      </c>
      <c r="S25" s="190">
        <v>550</v>
      </c>
      <c r="T25" s="190">
        <v>600</v>
      </c>
      <c r="U25" s="190">
        <v>100</v>
      </c>
      <c r="V25" s="190">
        <f t="shared" si="5"/>
        <v>9.1666666666666661</v>
      </c>
      <c r="W25" s="190">
        <f t="shared" si="6"/>
        <v>10</v>
      </c>
      <c r="Y25" s="190">
        <f t="shared" si="7"/>
        <v>517.12530970009016</v>
      </c>
      <c r="Z25" s="190">
        <f t="shared" si="8"/>
        <v>60</v>
      </c>
      <c r="AA25" s="190">
        <f t="shared" si="9"/>
        <v>0.11602603638719085</v>
      </c>
      <c r="AB25" s="1">
        <f t="shared" si="10"/>
        <v>0.24665019442998706</v>
      </c>
    </row>
    <row r="26" spans="1:30">
      <c r="E26" s="190">
        <f>SUM(E12:E19)</f>
        <v>11.399999999999999</v>
      </c>
      <c r="G26" s="190">
        <v>20</v>
      </c>
      <c r="H26" s="190">
        <f t="shared" ref="H26:H27" si="11">E26/60</f>
        <v>0.18999999999999997</v>
      </c>
      <c r="I26" s="190">
        <v>3</v>
      </c>
      <c r="J26" s="47">
        <f t="shared" ref="J26:J27" si="12">H26/(G26*G26*3.14/4000)</f>
        <v>0.60509554140127375</v>
      </c>
      <c r="K26" s="47">
        <f t="shared" ref="K26:K27" si="13">I26*26400/G26^1.27*J26^1.83</f>
        <v>703.32316350825965</v>
      </c>
      <c r="R26" s="190">
        <v>12</v>
      </c>
      <c r="S26" s="190">
        <v>900</v>
      </c>
      <c r="T26" s="190">
        <v>600</v>
      </c>
      <c r="U26" s="190">
        <v>100</v>
      </c>
      <c r="V26" s="190">
        <f t="shared" si="5"/>
        <v>15</v>
      </c>
      <c r="W26" s="190">
        <f t="shared" si="6"/>
        <v>12</v>
      </c>
      <c r="Y26" s="190">
        <f t="shared" si="7"/>
        <v>519.29613275960867</v>
      </c>
      <c r="Z26" s="190">
        <f t="shared" si="8"/>
        <v>60</v>
      </c>
      <c r="AA26" s="190">
        <f t="shared" si="9"/>
        <v>0.11554101063905874</v>
      </c>
      <c r="AB26" s="1">
        <f t="shared" si="10"/>
        <v>0.40276491770912526</v>
      </c>
    </row>
    <row r="27" spans="1:30">
      <c r="E27" s="190">
        <f>SUM(E8:E19)</f>
        <v>16.2</v>
      </c>
      <c r="G27" s="190">
        <v>25</v>
      </c>
      <c r="H27" s="190">
        <f t="shared" si="11"/>
        <v>0.26999999999999996</v>
      </c>
      <c r="I27" s="190">
        <v>3</v>
      </c>
      <c r="J27" s="47">
        <f t="shared" si="12"/>
        <v>0.55031847133757961</v>
      </c>
      <c r="K27" s="47">
        <f t="shared" si="13"/>
        <v>445.31277621306646</v>
      </c>
      <c r="R27" s="190">
        <v>14</v>
      </c>
      <c r="S27" s="190">
        <v>1400</v>
      </c>
      <c r="T27" s="190">
        <v>600</v>
      </c>
      <c r="U27" s="190">
        <v>100</v>
      </c>
      <c r="V27" s="190">
        <f t="shared" si="5"/>
        <v>23.333333333333332</v>
      </c>
      <c r="W27" s="190">
        <f t="shared" si="6"/>
        <v>14</v>
      </c>
      <c r="Y27" s="190">
        <f t="shared" si="7"/>
        <v>544.59603739768136</v>
      </c>
      <c r="Z27" s="190">
        <f t="shared" si="8"/>
        <v>60</v>
      </c>
      <c r="AA27" s="190">
        <f t="shared" si="9"/>
        <v>0.11017340538632324</v>
      </c>
      <c r="AB27" s="1">
        <f t="shared" si="10"/>
        <v>0.61179717436892611</v>
      </c>
    </row>
    <row r="28" spans="1:30">
      <c r="R28" s="190">
        <v>15</v>
      </c>
      <c r="S28" s="190">
        <v>1650</v>
      </c>
      <c r="T28" s="190">
        <v>600</v>
      </c>
      <c r="U28" s="190">
        <v>100</v>
      </c>
      <c r="V28" s="190">
        <f t="shared" si="5"/>
        <v>27.5</v>
      </c>
      <c r="W28" s="190">
        <f t="shared" si="6"/>
        <v>15</v>
      </c>
      <c r="Y28" s="190">
        <f t="shared" si="7"/>
        <v>525.03857199660263</v>
      </c>
      <c r="Z28" s="190">
        <f t="shared" si="8"/>
        <v>60</v>
      </c>
      <c r="AA28" s="190">
        <f t="shared" si="9"/>
        <v>0.11427731827746218</v>
      </c>
      <c r="AB28" s="1">
        <f t="shared" si="10"/>
        <v>0.73435322900586741</v>
      </c>
    </row>
    <row r="29" spans="1:30">
      <c r="K29" s="71">
        <f>SUM(K25:K28)*2/1000</f>
        <v>3.5243963904271407</v>
      </c>
      <c r="L29" s="71" t="s">
        <v>646</v>
      </c>
      <c r="R29" s="190">
        <v>16</v>
      </c>
      <c r="S29" s="190">
        <v>2000</v>
      </c>
      <c r="T29" s="190">
        <v>600</v>
      </c>
      <c r="U29" s="190">
        <v>100</v>
      </c>
      <c r="V29" s="190">
        <f t="shared" si="5"/>
        <v>33.333333333333336</v>
      </c>
      <c r="W29" s="190">
        <f t="shared" si="6"/>
        <v>16</v>
      </c>
      <c r="Y29" s="190">
        <f t="shared" si="7"/>
        <v>542.49072112588101</v>
      </c>
      <c r="Z29" s="190">
        <f t="shared" si="8"/>
        <v>60</v>
      </c>
      <c r="AA29" s="190">
        <f t="shared" si="9"/>
        <v>0.11060097005065168</v>
      </c>
      <c r="AB29" s="1">
        <f t="shared" si="10"/>
        <v>0.8756902376703678</v>
      </c>
    </row>
    <row r="30" spans="1:30">
      <c r="R30" s="190">
        <v>20</v>
      </c>
      <c r="S30" s="190">
        <v>3000</v>
      </c>
      <c r="T30" s="190">
        <v>440</v>
      </c>
      <c r="U30" s="190">
        <v>100</v>
      </c>
      <c r="V30" s="190">
        <f t="shared" si="5"/>
        <v>50</v>
      </c>
      <c r="W30" s="190">
        <f t="shared" si="6"/>
        <v>20</v>
      </c>
      <c r="Y30" s="190">
        <f t="shared" si="7"/>
        <v>387.61326574101832</v>
      </c>
      <c r="Z30" s="190">
        <f t="shared" si="8"/>
        <v>44</v>
      </c>
      <c r="AA30" s="190">
        <f t="shared" si="9"/>
        <v>0.11351520675094325</v>
      </c>
      <c r="AB30" s="1">
        <f t="shared" si="10"/>
        <v>1.5539556089284099</v>
      </c>
    </row>
    <row r="31" spans="1:30">
      <c r="R31" s="190">
        <v>26</v>
      </c>
      <c r="S31" s="190">
        <v>3000</v>
      </c>
      <c r="T31" s="190">
        <v>130</v>
      </c>
      <c r="U31" s="190">
        <v>100</v>
      </c>
      <c r="V31" s="190">
        <f t="shared" si="5"/>
        <v>50</v>
      </c>
      <c r="W31" s="190">
        <f t="shared" si="6"/>
        <v>26</v>
      </c>
      <c r="Y31" s="190">
        <f t="shared" si="7"/>
        <v>114.43583523948965</v>
      </c>
      <c r="Z31" s="190">
        <f t="shared" si="8"/>
        <v>13</v>
      </c>
      <c r="AA31" s="190">
        <f t="shared" si="9"/>
        <v>0.11360077874901502</v>
      </c>
      <c r="AB31" s="1">
        <f t="shared" si="10"/>
        <v>2.8599398717331597</v>
      </c>
    </row>
    <row r="32" spans="1:30">
      <c r="A32" s="190" t="s">
        <v>648</v>
      </c>
      <c r="L32" s="71" t="s">
        <v>649</v>
      </c>
      <c r="U32" s="190">
        <v>100</v>
      </c>
      <c r="V32" s="190">
        <f t="shared" si="5"/>
        <v>0</v>
      </c>
      <c r="W32" s="190">
        <f t="shared" si="6"/>
        <v>0</v>
      </c>
      <c r="AB32" s="1"/>
    </row>
    <row r="33" spans="1:28">
      <c r="R33" s="190" t="s">
        <v>166</v>
      </c>
      <c r="S33" s="190" t="s">
        <v>382</v>
      </c>
      <c r="T33" s="190" t="s">
        <v>381</v>
      </c>
      <c r="AB33" s="1"/>
    </row>
    <row r="34" spans="1:28">
      <c r="H34" s="190">
        <v>17</v>
      </c>
      <c r="I34" s="190" t="s">
        <v>647</v>
      </c>
      <c r="R34" s="190">
        <v>10</v>
      </c>
      <c r="S34" s="190">
        <v>58</v>
      </c>
      <c r="T34" s="190">
        <v>10</v>
      </c>
      <c r="U34" s="190">
        <v>100</v>
      </c>
      <c r="V34" s="190">
        <f t="shared" ref="V34:V49" si="14">S34/60</f>
        <v>0.96666666666666667</v>
      </c>
      <c r="W34" s="190">
        <f t="shared" ref="W34:W49" si="15">R34</f>
        <v>10</v>
      </c>
      <c r="Y34" s="190">
        <f t="shared" si="7"/>
        <v>10.555985136550305</v>
      </c>
      <c r="Z34" s="190">
        <f t="shared" ref="Z34:Z48" si="16">T34/10</f>
        <v>1</v>
      </c>
      <c r="AA34" s="190">
        <f t="shared" si="9"/>
        <v>9.4732986742988148E-2</v>
      </c>
      <c r="AB34" s="1">
        <f t="shared" si="10"/>
        <v>0.18205192613634955</v>
      </c>
    </row>
    <row r="35" spans="1:28">
      <c r="A35" s="104"/>
      <c r="B35" s="92" t="s">
        <v>594</v>
      </c>
      <c r="C35" s="104" t="s">
        <v>124</v>
      </c>
      <c r="D35" s="104" t="s">
        <v>16</v>
      </c>
      <c r="E35" s="104" t="s">
        <v>287</v>
      </c>
      <c r="F35" s="104" t="s">
        <v>391</v>
      </c>
      <c r="G35" s="92" t="s">
        <v>592</v>
      </c>
      <c r="H35" s="92" t="s">
        <v>591</v>
      </c>
      <c r="I35" s="92" t="s">
        <v>590</v>
      </c>
      <c r="J35" s="92" t="s">
        <v>589</v>
      </c>
      <c r="R35" s="190">
        <v>12</v>
      </c>
      <c r="S35" s="190">
        <v>95</v>
      </c>
      <c r="T35" s="190">
        <v>10</v>
      </c>
      <c r="U35" s="190">
        <v>100</v>
      </c>
      <c r="V35" s="190">
        <f t="shared" si="14"/>
        <v>1.5833333333333333</v>
      </c>
      <c r="W35" s="190">
        <f t="shared" si="15"/>
        <v>12</v>
      </c>
      <c r="Y35" s="190">
        <f t="shared" si="7"/>
        <v>10.617869522075129</v>
      </c>
      <c r="Z35" s="190">
        <f t="shared" si="16"/>
        <v>1</v>
      </c>
      <c r="AA35" s="190">
        <f t="shared" si="9"/>
        <v>9.4180852187055561E-2</v>
      </c>
      <c r="AB35" s="1">
        <f t="shared" si="10"/>
        <v>0.29731826022424246</v>
      </c>
    </row>
    <row r="36" spans="1:28">
      <c r="A36" s="190" t="s">
        <v>572</v>
      </c>
      <c r="B36" s="190">
        <v>0.2</v>
      </c>
      <c r="C36" s="190">
        <f>4.1*4.5</f>
        <v>18.45</v>
      </c>
      <c r="D36" s="190">
        <f t="shared" ref="D36:D44" si="17">C36/B36</f>
        <v>92.249999999999986</v>
      </c>
      <c r="E36" s="190">
        <v>1.8</v>
      </c>
      <c r="F36" s="190">
        <v>12</v>
      </c>
      <c r="G36" s="190">
        <f t="shared" ref="G36:G44" si="18">5000*D36*E36^1.73/F36^4.65</f>
        <v>12.228269985906536</v>
      </c>
      <c r="H36" s="190">
        <f t="shared" ref="H36:H44" si="19">H$34-G36</f>
        <v>4.771730014093464</v>
      </c>
      <c r="I36" s="1">
        <f t="shared" ref="I36:I44" si="20">E36*60/1000/SQRT(G36/104)</f>
        <v>0.31496182315367932</v>
      </c>
      <c r="J36" s="1">
        <f t="shared" ref="J36:J44" si="21">E36*60/1000/SQRT(H36/104)</f>
        <v>0.50419959622267774</v>
      </c>
      <c r="R36" s="190">
        <v>14</v>
      </c>
      <c r="S36" s="190">
        <v>145</v>
      </c>
      <c r="T36" s="190">
        <v>10</v>
      </c>
      <c r="U36" s="190">
        <v>100</v>
      </c>
      <c r="V36" s="190">
        <f t="shared" si="14"/>
        <v>2.4166666666666665</v>
      </c>
      <c r="W36" s="190">
        <f t="shared" si="15"/>
        <v>14</v>
      </c>
      <c r="Y36" s="190">
        <f t="shared" si="7"/>
        <v>10.775554285071816</v>
      </c>
      <c r="Z36" s="190">
        <f t="shared" si="16"/>
        <v>1</v>
      </c>
      <c r="AA36" s="190">
        <f t="shared" si="9"/>
        <v>9.2802650661356234E-2</v>
      </c>
      <c r="AB36" s="1">
        <f t="shared" si="10"/>
        <v>0.45046895113439456</v>
      </c>
    </row>
    <row r="37" spans="1:28">
      <c r="A37" s="190" t="s">
        <v>571</v>
      </c>
      <c r="B37" s="190">
        <v>0.2</v>
      </c>
      <c r="C37" s="190">
        <f>4.1*4.5</f>
        <v>18.45</v>
      </c>
      <c r="D37" s="190">
        <f t="shared" si="17"/>
        <v>92.249999999999986</v>
      </c>
      <c r="E37" s="190">
        <v>1.8</v>
      </c>
      <c r="F37" s="190">
        <v>12</v>
      </c>
      <c r="G37" s="190">
        <f t="shared" si="18"/>
        <v>12.228269985906536</v>
      </c>
      <c r="H37" s="190">
        <f t="shared" si="19"/>
        <v>4.771730014093464</v>
      </c>
      <c r="I37" s="1">
        <f t="shared" si="20"/>
        <v>0.31496182315367932</v>
      </c>
      <c r="J37" s="1">
        <f t="shared" si="21"/>
        <v>0.50419959622267774</v>
      </c>
      <c r="R37" s="190">
        <v>15</v>
      </c>
      <c r="S37" s="190">
        <v>175</v>
      </c>
      <c r="T37" s="190">
        <v>10</v>
      </c>
      <c r="U37" s="190">
        <v>100</v>
      </c>
      <c r="V37" s="190">
        <f t="shared" si="14"/>
        <v>2.9166666666666665</v>
      </c>
      <c r="W37" s="190">
        <f t="shared" si="15"/>
        <v>15</v>
      </c>
      <c r="Y37" s="190">
        <f t="shared" si="7"/>
        <v>10.824299760261704</v>
      </c>
      <c r="Z37" s="190">
        <f t="shared" si="16"/>
        <v>1</v>
      </c>
      <c r="AA37" s="190">
        <f t="shared" si="9"/>
        <v>9.2384729003090957E-2</v>
      </c>
      <c r="AB37" s="1">
        <f t="shared" si="10"/>
        <v>0.54244387900947377</v>
      </c>
    </row>
    <row r="38" spans="1:28">
      <c r="A38" s="190" t="s">
        <v>570</v>
      </c>
      <c r="B38" s="190">
        <v>0.2</v>
      </c>
      <c r="C38" s="190">
        <f>4.1*4.5</f>
        <v>18.45</v>
      </c>
      <c r="D38" s="190">
        <f t="shared" si="17"/>
        <v>92.249999999999986</v>
      </c>
      <c r="E38" s="190">
        <v>1.8</v>
      </c>
      <c r="F38" s="190">
        <v>12</v>
      </c>
      <c r="G38" s="190">
        <f t="shared" si="18"/>
        <v>12.228269985906536</v>
      </c>
      <c r="H38" s="190">
        <f t="shared" si="19"/>
        <v>4.771730014093464</v>
      </c>
      <c r="I38" s="1">
        <f t="shared" si="20"/>
        <v>0.31496182315367932</v>
      </c>
      <c r="J38" s="1">
        <f t="shared" si="21"/>
        <v>0.50419959622267774</v>
      </c>
      <c r="R38" s="190">
        <v>16</v>
      </c>
      <c r="S38" s="190">
        <v>210</v>
      </c>
      <c r="T38" s="190">
        <v>10</v>
      </c>
      <c r="U38" s="190">
        <v>100</v>
      </c>
      <c r="V38" s="190">
        <f t="shared" si="14"/>
        <v>3.5</v>
      </c>
      <c r="W38" s="190">
        <f t="shared" si="15"/>
        <v>16</v>
      </c>
      <c r="Y38" s="190">
        <f t="shared" si="7"/>
        <v>10.991318726030919</v>
      </c>
      <c r="Z38" s="190">
        <f t="shared" si="16"/>
        <v>1</v>
      </c>
      <c r="AA38" s="190">
        <f t="shared" si="9"/>
        <v>9.0980893642150854E-2</v>
      </c>
      <c r="AB38" s="1">
        <f t="shared" si="10"/>
        <v>0.64596808791174865</v>
      </c>
    </row>
    <row r="39" spans="1:28">
      <c r="A39" s="190" t="s">
        <v>569</v>
      </c>
      <c r="B39" s="190">
        <v>0.2</v>
      </c>
      <c r="C39" s="190">
        <v>18</v>
      </c>
      <c r="D39" s="190">
        <f t="shared" si="17"/>
        <v>90</v>
      </c>
      <c r="E39" s="190">
        <v>1.8</v>
      </c>
      <c r="F39" s="190">
        <v>12</v>
      </c>
      <c r="G39" s="190">
        <f t="shared" si="18"/>
        <v>11.9300194984454</v>
      </c>
      <c r="H39" s="190">
        <f t="shared" si="19"/>
        <v>5.0699805015545998</v>
      </c>
      <c r="I39" s="1">
        <f t="shared" si="20"/>
        <v>0.31887454240719315</v>
      </c>
      <c r="J39" s="1">
        <f t="shared" si="21"/>
        <v>0.48914461933910669</v>
      </c>
      <c r="R39" s="190">
        <v>20</v>
      </c>
      <c r="S39" s="190">
        <v>380</v>
      </c>
      <c r="T39" s="190">
        <v>10</v>
      </c>
      <c r="U39" s="190">
        <v>100</v>
      </c>
      <c r="V39" s="190">
        <f t="shared" si="14"/>
        <v>6.333333333333333</v>
      </c>
      <c r="W39" s="190">
        <f t="shared" si="15"/>
        <v>20</v>
      </c>
      <c r="Y39" s="190">
        <f t="shared" si="7"/>
        <v>10.864368394969528</v>
      </c>
      <c r="Z39" s="190">
        <f t="shared" si="16"/>
        <v>1</v>
      </c>
      <c r="AA39" s="190">
        <f t="shared" si="9"/>
        <v>9.2044006945035547E-2</v>
      </c>
      <c r="AB39" s="1">
        <f t="shared" si="10"/>
        <v>1.1757040778604817</v>
      </c>
    </row>
    <row r="40" spans="1:28">
      <c r="A40" s="190" t="s">
        <v>568</v>
      </c>
      <c r="B40" s="190">
        <v>0.15</v>
      </c>
      <c r="C40" s="190">
        <v>8</v>
      </c>
      <c r="D40" s="190">
        <f t="shared" si="17"/>
        <v>53.333333333333336</v>
      </c>
      <c r="E40" s="190">
        <v>1.8</v>
      </c>
      <c r="F40" s="190">
        <v>12</v>
      </c>
      <c r="G40" s="190">
        <f t="shared" si="18"/>
        <v>7.0696411842639426</v>
      </c>
      <c r="H40" s="190">
        <f t="shared" si="19"/>
        <v>9.9303588157360565</v>
      </c>
      <c r="I40" s="1">
        <f t="shared" si="20"/>
        <v>0.41423018151715124</v>
      </c>
      <c r="J40" s="1">
        <f t="shared" si="21"/>
        <v>0.34950867087448634</v>
      </c>
      <c r="R40" s="190">
        <v>26</v>
      </c>
      <c r="S40" s="190">
        <v>780</v>
      </c>
      <c r="T40" s="190">
        <v>10</v>
      </c>
      <c r="U40" s="190">
        <v>100</v>
      </c>
      <c r="V40" s="190">
        <f t="shared" si="14"/>
        <v>13</v>
      </c>
      <c r="W40" s="190">
        <f t="shared" si="15"/>
        <v>26</v>
      </c>
      <c r="Y40" s="190">
        <f t="shared" si="7"/>
        <v>11.129250962020043</v>
      </c>
      <c r="Z40" s="190">
        <f t="shared" si="16"/>
        <v>1</v>
      </c>
      <c r="AA40" s="190">
        <f t="shared" si="9"/>
        <v>8.9853306697155522E-2</v>
      </c>
      <c r="AB40" s="1">
        <f t="shared" si="10"/>
        <v>2.3843955600179134</v>
      </c>
    </row>
    <row r="41" spans="1:28">
      <c r="A41" s="190" t="s">
        <v>567</v>
      </c>
      <c r="B41" s="190">
        <v>0.2</v>
      </c>
      <c r="C41" s="190">
        <f>4.1*4.5</f>
        <v>18.45</v>
      </c>
      <c r="D41" s="190">
        <f t="shared" si="17"/>
        <v>92.249999999999986</v>
      </c>
      <c r="E41" s="190">
        <v>1.8</v>
      </c>
      <c r="F41" s="190">
        <v>12</v>
      </c>
      <c r="G41" s="190">
        <f t="shared" si="18"/>
        <v>12.228269985906536</v>
      </c>
      <c r="H41" s="190">
        <f t="shared" si="19"/>
        <v>4.771730014093464</v>
      </c>
      <c r="I41" s="1">
        <f t="shared" si="20"/>
        <v>0.31496182315367932</v>
      </c>
      <c r="J41" s="1">
        <f t="shared" si="21"/>
        <v>0.50419959622267774</v>
      </c>
      <c r="U41" s="190">
        <v>100</v>
      </c>
      <c r="V41" s="190">
        <f t="shared" si="14"/>
        <v>0</v>
      </c>
      <c r="W41" s="190">
        <f t="shared" si="15"/>
        <v>0</v>
      </c>
      <c r="AB41" s="1"/>
    </row>
    <row r="42" spans="1:28">
      <c r="A42" s="190" t="s">
        <v>566</v>
      </c>
      <c r="B42" s="190">
        <v>0.25</v>
      </c>
      <c r="C42" s="190">
        <v>25</v>
      </c>
      <c r="D42" s="190">
        <f t="shared" si="17"/>
        <v>100</v>
      </c>
      <c r="E42" s="190">
        <v>1.8</v>
      </c>
      <c r="F42" s="190">
        <v>12</v>
      </c>
      <c r="G42" s="190">
        <f t="shared" si="18"/>
        <v>13.255577220494889</v>
      </c>
      <c r="H42" s="190">
        <f t="shared" si="19"/>
        <v>3.7444227795051113</v>
      </c>
      <c r="I42" s="1">
        <f t="shared" si="20"/>
        <v>0.30251095255520444</v>
      </c>
      <c r="J42" s="1">
        <f t="shared" si="21"/>
        <v>0.56917784342244793</v>
      </c>
      <c r="R42" s="190">
        <v>10</v>
      </c>
      <c r="S42" s="190">
        <v>600</v>
      </c>
      <c r="T42" s="190">
        <v>600</v>
      </c>
      <c r="U42" s="190">
        <v>100</v>
      </c>
      <c r="V42" s="190">
        <f t="shared" si="14"/>
        <v>10</v>
      </c>
      <c r="W42" s="190">
        <f t="shared" si="15"/>
        <v>10</v>
      </c>
      <c r="Y42" s="190">
        <f t="shared" si="7"/>
        <v>601.13221730870566</v>
      </c>
      <c r="Z42" s="190">
        <f t="shared" si="16"/>
        <v>60</v>
      </c>
      <c r="AA42" s="190">
        <f t="shared" si="9"/>
        <v>9.9811652532320647E-2</v>
      </c>
      <c r="AB42" s="1">
        <f t="shared" si="10"/>
        <v>0.24956456314983522</v>
      </c>
    </row>
    <row r="43" spans="1:28">
      <c r="A43" s="190" t="s">
        <v>565</v>
      </c>
      <c r="B43" s="190">
        <v>0.25</v>
      </c>
      <c r="C43" s="190">
        <v>25</v>
      </c>
      <c r="D43" s="190">
        <f t="shared" si="17"/>
        <v>100</v>
      </c>
      <c r="E43" s="190">
        <v>1.8</v>
      </c>
      <c r="F43" s="190">
        <v>12</v>
      </c>
      <c r="G43" s="190">
        <f t="shared" si="18"/>
        <v>13.255577220494889</v>
      </c>
      <c r="H43" s="190">
        <f t="shared" si="19"/>
        <v>3.7444227795051113</v>
      </c>
      <c r="I43" s="1">
        <f t="shared" si="20"/>
        <v>0.30251095255520444</v>
      </c>
      <c r="J43" s="1">
        <f t="shared" si="21"/>
        <v>0.56917784342244793</v>
      </c>
      <c r="R43" s="190">
        <v>12</v>
      </c>
      <c r="S43" s="190">
        <v>1000</v>
      </c>
      <c r="T43" s="190">
        <v>600</v>
      </c>
      <c r="U43" s="190">
        <v>100</v>
      </c>
      <c r="V43" s="190">
        <f t="shared" si="14"/>
        <v>16.666666666666668</v>
      </c>
      <c r="W43" s="190">
        <f t="shared" si="15"/>
        <v>12</v>
      </c>
      <c r="Y43" s="190">
        <f t="shared" si="7"/>
        <v>623.12553287733954</v>
      </c>
      <c r="Z43" s="190">
        <f t="shared" si="16"/>
        <v>60</v>
      </c>
      <c r="AA43" s="190">
        <f t="shared" si="9"/>
        <v>9.6288784256591889E-2</v>
      </c>
      <c r="AB43" s="1">
        <f t="shared" si="10"/>
        <v>0.40853464893212266</v>
      </c>
    </row>
    <row r="44" spans="1:28">
      <c r="A44" s="190" t="s">
        <v>564</v>
      </c>
      <c r="B44" s="190">
        <v>0.15</v>
      </c>
      <c r="C44" s="190">
        <v>8</v>
      </c>
      <c r="D44" s="190">
        <f t="shared" si="17"/>
        <v>53.333333333333336</v>
      </c>
      <c r="E44" s="190">
        <v>1.8</v>
      </c>
      <c r="F44" s="190">
        <v>12</v>
      </c>
      <c r="G44" s="190">
        <f t="shared" si="18"/>
        <v>7.0696411842639426</v>
      </c>
      <c r="H44" s="190">
        <f t="shared" si="19"/>
        <v>9.9303588157360565</v>
      </c>
      <c r="I44" s="1">
        <f t="shared" si="20"/>
        <v>0.41423018151715124</v>
      </c>
      <c r="J44" s="1">
        <f t="shared" si="21"/>
        <v>0.34950867087448634</v>
      </c>
      <c r="R44" s="190">
        <v>14</v>
      </c>
      <c r="S44" s="190">
        <v>1520</v>
      </c>
      <c r="T44" s="190">
        <v>600</v>
      </c>
      <c r="U44" s="190">
        <v>100</v>
      </c>
      <c r="V44" s="190">
        <f t="shared" si="14"/>
        <v>25.333333333333332</v>
      </c>
      <c r="W44" s="190">
        <f t="shared" si="15"/>
        <v>14</v>
      </c>
      <c r="Y44" s="190">
        <f t="shared" si="7"/>
        <v>627.85937359291529</v>
      </c>
      <c r="Z44" s="190">
        <f t="shared" si="16"/>
        <v>60</v>
      </c>
      <c r="AA44" s="190">
        <f t="shared" si="9"/>
        <v>9.5562800403298842E-2</v>
      </c>
      <c r="AB44" s="1">
        <f t="shared" si="10"/>
        <v>0.61862727848823063</v>
      </c>
    </row>
    <row r="45" spans="1:28">
      <c r="R45" s="190">
        <v>15</v>
      </c>
      <c r="S45" s="190">
        <v>1800</v>
      </c>
      <c r="T45" s="190">
        <v>600</v>
      </c>
      <c r="U45" s="190">
        <v>100</v>
      </c>
      <c r="V45" s="190">
        <f t="shared" si="14"/>
        <v>30</v>
      </c>
      <c r="W45" s="190">
        <f t="shared" si="15"/>
        <v>15</v>
      </c>
      <c r="Y45" s="190">
        <f t="shared" si="7"/>
        <v>610.33098755108006</v>
      </c>
      <c r="Z45" s="190">
        <f t="shared" si="16"/>
        <v>60</v>
      </c>
      <c r="AA45" s="190">
        <f t="shared" si="9"/>
        <v>9.8307313939190177E-2</v>
      </c>
      <c r="AB45" s="1">
        <f t="shared" si="10"/>
        <v>0.74303019796135605</v>
      </c>
    </row>
    <row r="46" spans="1:28">
      <c r="B46" s="190" t="s">
        <v>563</v>
      </c>
      <c r="C46" s="190">
        <f>SUM(C36:C45)</f>
        <v>157.80000000000001</v>
      </c>
      <c r="D46" s="190">
        <f>SUM(D36:D45)</f>
        <v>765.66666666666663</v>
      </c>
      <c r="E46" s="190">
        <f>SUM(E36:E45)</f>
        <v>16.200000000000003</v>
      </c>
      <c r="R46" s="190">
        <v>16</v>
      </c>
      <c r="S46" s="190">
        <v>2150</v>
      </c>
      <c r="T46" s="190">
        <v>600</v>
      </c>
      <c r="U46" s="190">
        <v>100</v>
      </c>
      <c r="V46" s="190">
        <f t="shared" si="14"/>
        <v>35.833333333333336</v>
      </c>
      <c r="W46" s="190">
        <f t="shared" si="15"/>
        <v>16</v>
      </c>
      <c r="Y46" s="190">
        <f t="shared" si="7"/>
        <v>614.79306154236349</v>
      </c>
      <c r="Z46" s="190">
        <f t="shared" si="16"/>
        <v>60</v>
      </c>
      <c r="AA46" s="190">
        <f t="shared" si="9"/>
        <v>9.7593814493408343E-2</v>
      </c>
      <c r="AB46" s="1">
        <f t="shared" si="10"/>
        <v>0.88428172716204267</v>
      </c>
    </row>
    <row r="47" spans="1:28">
      <c r="B47" s="190" t="s">
        <v>59</v>
      </c>
      <c r="C47" s="190">
        <v>10</v>
      </c>
      <c r="E47" s="190">
        <f>60*E46</f>
        <v>972.00000000000023</v>
      </c>
      <c r="R47" s="190">
        <v>20</v>
      </c>
      <c r="S47" s="190">
        <v>3000</v>
      </c>
      <c r="T47" s="190">
        <v>370</v>
      </c>
      <c r="U47" s="190">
        <v>100</v>
      </c>
      <c r="V47" s="190">
        <f t="shared" si="14"/>
        <v>50</v>
      </c>
      <c r="W47" s="190">
        <f t="shared" si="15"/>
        <v>20</v>
      </c>
      <c r="Y47" s="190">
        <f t="shared" si="7"/>
        <v>387.61326574101832</v>
      </c>
      <c r="Z47" s="190">
        <f t="shared" si="16"/>
        <v>37</v>
      </c>
      <c r="AA47" s="190">
        <f t="shared" si="9"/>
        <v>9.5455969313293185E-2</v>
      </c>
      <c r="AB47" s="1">
        <f t="shared" si="10"/>
        <v>1.5539556089284099</v>
      </c>
    </row>
    <row r="48" spans="1:28">
      <c r="C48" s="190">
        <f>C47*1000/C46</f>
        <v>63.371356147021544</v>
      </c>
      <c r="D48" s="190" t="s">
        <v>266</v>
      </c>
      <c r="R48" s="190">
        <v>26</v>
      </c>
      <c r="S48" s="190">
        <v>3000</v>
      </c>
      <c r="T48" s="190">
        <v>105</v>
      </c>
      <c r="U48" s="190">
        <v>100</v>
      </c>
      <c r="V48" s="190">
        <f t="shared" si="14"/>
        <v>50</v>
      </c>
      <c r="W48" s="190">
        <f t="shared" si="15"/>
        <v>26</v>
      </c>
      <c r="Y48" s="190">
        <f t="shared" si="7"/>
        <v>114.43583523948965</v>
      </c>
      <c r="Z48" s="190">
        <f t="shared" si="16"/>
        <v>10.5</v>
      </c>
      <c r="AA48" s="190">
        <f t="shared" si="9"/>
        <v>9.175447514343521E-2</v>
      </c>
      <c r="AB48" s="1">
        <f t="shared" si="10"/>
        <v>2.8599398717331597</v>
      </c>
    </row>
    <row r="49" spans="1:28">
      <c r="G49" s="55" t="s">
        <v>18</v>
      </c>
      <c r="H49" s="20" t="s">
        <v>17</v>
      </c>
      <c r="I49" s="56" t="s">
        <v>16</v>
      </c>
      <c r="J49" s="20" t="s">
        <v>15</v>
      </c>
      <c r="K49" s="20" t="s">
        <v>14</v>
      </c>
      <c r="U49" s="190">
        <v>100</v>
      </c>
      <c r="V49" s="190">
        <f t="shared" si="14"/>
        <v>0</v>
      </c>
      <c r="W49" s="190">
        <f t="shared" si="15"/>
        <v>0</v>
      </c>
      <c r="AB49" s="1"/>
    </row>
    <row r="50" spans="1:28" ht="15.75" thickBot="1">
      <c r="E50" s="190" t="s">
        <v>287</v>
      </c>
      <c r="G50" s="58" t="s">
        <v>4</v>
      </c>
      <c r="H50" s="44"/>
      <c r="I50" s="59"/>
      <c r="J50" s="37"/>
      <c r="K50" s="37"/>
      <c r="R50" s="190" t="s">
        <v>383</v>
      </c>
      <c r="S50" s="190" t="s">
        <v>382</v>
      </c>
      <c r="T50" s="190" t="s">
        <v>381</v>
      </c>
      <c r="AB50" s="1"/>
    </row>
    <row r="51" spans="1:28">
      <c r="E51" s="190">
        <f>SUM(E42:E44)</f>
        <v>5.4</v>
      </c>
      <c r="G51" s="190">
        <v>16</v>
      </c>
      <c r="H51" s="190">
        <f>E51/60</f>
        <v>9.0000000000000011E-2</v>
      </c>
      <c r="I51" s="190">
        <v>3</v>
      </c>
      <c r="J51" s="47">
        <f>H51/(G51*G51*3.14/4000)</f>
        <v>0.44785031847133761</v>
      </c>
      <c r="K51" s="47">
        <f>I51*26400/G51^1.27*J51^1.83</f>
        <v>538.35157445993605</v>
      </c>
      <c r="R51" s="190">
        <v>10</v>
      </c>
      <c r="S51" s="190">
        <v>62</v>
      </c>
      <c r="T51" s="190">
        <v>10</v>
      </c>
      <c r="U51" s="190">
        <v>100</v>
      </c>
      <c r="V51" s="190">
        <f t="shared" ref="V51:V65" si="22">S51/60</f>
        <v>1.0333333333333334</v>
      </c>
      <c r="W51" s="190">
        <f t="shared" ref="W51:W65" si="23">R51</f>
        <v>10</v>
      </c>
      <c r="Y51" s="190">
        <f t="shared" si="7"/>
        <v>11.846933864226152</v>
      </c>
      <c r="Z51" s="190">
        <f t="shared" ref="Z51:Z65" si="24">T51/10</f>
        <v>1</v>
      </c>
      <c r="AA51" s="190">
        <f t="shared" si="9"/>
        <v>8.4410026379878045E-2</v>
      </c>
      <c r="AB51" s="1">
        <f t="shared" si="10"/>
        <v>0.18369840147927835</v>
      </c>
    </row>
    <row r="52" spans="1:28">
      <c r="E52" s="190">
        <f>SUM(E40:E44)</f>
        <v>9</v>
      </c>
      <c r="G52" s="190">
        <v>20</v>
      </c>
      <c r="H52" s="190">
        <f t="shared" ref="H52" si="25">E52/60</f>
        <v>0.15</v>
      </c>
      <c r="I52" s="190">
        <v>3</v>
      </c>
      <c r="J52" s="47">
        <f t="shared" ref="J52" si="26">H52/(G52*G52*3.14/4000)</f>
        <v>0.47770700636942676</v>
      </c>
      <c r="K52" s="47">
        <f t="shared" ref="K52" si="27">I52*26400/G52^1.27*J52^1.83</f>
        <v>456.33400768162602</v>
      </c>
      <c r="R52" s="190">
        <v>12</v>
      </c>
      <c r="S52" s="190">
        <v>100</v>
      </c>
      <c r="T52" s="190">
        <v>10</v>
      </c>
      <c r="U52" s="190">
        <v>100</v>
      </c>
      <c r="V52" s="190">
        <f t="shared" si="22"/>
        <v>1.6666666666666667</v>
      </c>
      <c r="W52" s="190">
        <f t="shared" si="23"/>
        <v>12</v>
      </c>
      <c r="Y52" s="190">
        <f t="shared" si="7"/>
        <v>11.603140392970891</v>
      </c>
      <c r="Z52" s="190">
        <f t="shared" si="24"/>
        <v>1</v>
      </c>
      <c r="AA52" s="190">
        <f t="shared" si="9"/>
        <v>8.6183564632708709E-2</v>
      </c>
      <c r="AB52" s="1">
        <f t="shared" si="10"/>
        <v>0.29938421337474874</v>
      </c>
    </row>
    <row r="53" spans="1:28">
      <c r="J53" s="47"/>
      <c r="K53" s="47"/>
      <c r="R53" s="190">
        <v>14</v>
      </c>
      <c r="S53" s="190">
        <v>155</v>
      </c>
      <c r="T53" s="190">
        <v>10</v>
      </c>
      <c r="U53" s="190">
        <v>100</v>
      </c>
      <c r="V53" s="190">
        <f t="shared" si="22"/>
        <v>2.5833333333333335</v>
      </c>
      <c r="W53" s="190">
        <f t="shared" si="23"/>
        <v>14</v>
      </c>
      <c r="Y53" s="190">
        <f t="shared" si="7"/>
        <v>12.093355315896449</v>
      </c>
      <c r="Z53" s="190">
        <f t="shared" si="24"/>
        <v>1</v>
      </c>
      <c r="AA53" s="190">
        <f t="shared" si="9"/>
        <v>8.2690037121916193E-2</v>
      </c>
      <c r="AB53" s="1">
        <f t="shared" si="10"/>
        <v>0.45454298669412974</v>
      </c>
    </row>
    <row r="54" spans="1:28">
      <c r="A54" s="2" t="s">
        <v>171</v>
      </c>
      <c r="B54" s="1"/>
      <c r="C54" s="1"/>
      <c r="R54" s="190">
        <v>15</v>
      </c>
      <c r="S54" s="190">
        <v>180</v>
      </c>
      <c r="T54" s="190">
        <v>10</v>
      </c>
      <c r="U54" s="190">
        <v>100</v>
      </c>
      <c r="V54" s="190">
        <f t="shared" si="22"/>
        <v>3</v>
      </c>
      <c r="W54" s="190">
        <f t="shared" si="23"/>
        <v>15</v>
      </c>
      <c r="Y54" s="190">
        <f t="shared" si="7"/>
        <v>11.364894810256104</v>
      </c>
      <c r="Z54" s="190">
        <f t="shared" si="24"/>
        <v>1</v>
      </c>
      <c r="AA54" s="190">
        <f t="shared" si="9"/>
        <v>8.7990255668496192E-2</v>
      </c>
      <c r="AB54" s="1">
        <f t="shared" si="10"/>
        <v>0.54451075792913839</v>
      </c>
    </row>
    <row r="55" spans="1:28" ht="15.75" thickBot="1">
      <c r="A55" s="8" t="s">
        <v>2</v>
      </c>
      <c r="B55" s="9" t="s">
        <v>1</v>
      </c>
      <c r="C55" s="1" t="s">
        <v>172</v>
      </c>
      <c r="R55" s="190">
        <v>16</v>
      </c>
      <c r="S55" s="190">
        <v>220</v>
      </c>
      <c r="T55" s="190">
        <v>10</v>
      </c>
      <c r="U55" s="190">
        <v>100</v>
      </c>
      <c r="V55" s="190">
        <f t="shared" si="22"/>
        <v>3.6666666666666665</v>
      </c>
      <c r="W55" s="190">
        <f t="shared" si="23"/>
        <v>16</v>
      </c>
      <c r="Y55" s="190">
        <f t="shared" si="7"/>
        <v>11.912465603353677</v>
      </c>
      <c r="Z55" s="190">
        <f t="shared" si="24"/>
        <v>1</v>
      </c>
      <c r="AA55" s="190">
        <f t="shared" si="9"/>
        <v>8.394567785517662E-2</v>
      </c>
      <c r="AB55" s="1">
        <f t="shared" si="10"/>
        <v>0.65003766356405612</v>
      </c>
    </row>
    <row r="56" spans="1:28">
      <c r="A56" s="3">
        <v>1000</v>
      </c>
      <c r="B56" s="3">
        <v>100</v>
      </c>
      <c r="C56" s="1">
        <f>A56/1000/SQRT(B56/100)</f>
        <v>1</v>
      </c>
      <c r="R56" s="190">
        <v>20</v>
      </c>
      <c r="S56" s="190">
        <v>400</v>
      </c>
      <c r="T56" s="190">
        <v>10</v>
      </c>
      <c r="U56" s="190">
        <v>100</v>
      </c>
      <c r="V56" s="190">
        <f t="shared" si="22"/>
        <v>6.666666666666667</v>
      </c>
      <c r="W56" s="190">
        <f t="shared" si="23"/>
        <v>20</v>
      </c>
      <c r="Y56" s="190">
        <f t="shared" si="7"/>
        <v>11.872512796065163</v>
      </c>
      <c r="Z56" s="190">
        <f t="shared" si="24"/>
        <v>1</v>
      </c>
      <c r="AA56" s="190">
        <f t="shared" si="9"/>
        <v>8.4228167800452836E-2</v>
      </c>
      <c r="AB56" s="1">
        <f t="shared" si="10"/>
        <v>1.1838736048242378</v>
      </c>
    </row>
    <row r="57" spans="1:28">
      <c r="A57" s="190">
        <f>3600*A59</f>
        <v>2700</v>
      </c>
      <c r="B57" s="190">
        <v>40</v>
      </c>
      <c r="C57" s="1">
        <f>A57/1000/SQRT(B57/100)</f>
        <v>4.2690748412273125</v>
      </c>
      <c r="R57" s="190">
        <v>26</v>
      </c>
      <c r="S57" s="190">
        <v>820</v>
      </c>
      <c r="T57" s="190">
        <v>10</v>
      </c>
      <c r="U57" s="190">
        <v>100</v>
      </c>
      <c r="V57" s="190">
        <f t="shared" si="22"/>
        <v>13.666666666666666</v>
      </c>
      <c r="W57" s="190">
        <f t="shared" si="23"/>
        <v>26</v>
      </c>
      <c r="Y57" s="190">
        <f t="shared" si="7"/>
        <v>12.13501277122649</v>
      </c>
      <c r="Z57" s="190">
        <f t="shared" si="24"/>
        <v>1</v>
      </c>
      <c r="AA57" s="190">
        <f t="shared" si="9"/>
        <v>8.2406176149325105E-2</v>
      </c>
      <c r="AB57" s="1">
        <f t="shared" si="10"/>
        <v>2.4005480490196076</v>
      </c>
    </row>
    <row r="58" spans="1:28">
      <c r="A58" s="243" t="s">
        <v>937</v>
      </c>
      <c r="B58" s="243" t="s">
        <v>938</v>
      </c>
      <c r="C58" s="92" t="s">
        <v>244</v>
      </c>
      <c r="D58" s="243" t="s">
        <v>412</v>
      </c>
      <c r="U58" s="190">
        <v>100</v>
      </c>
      <c r="V58" s="190">
        <f t="shared" si="22"/>
        <v>0</v>
      </c>
      <c r="AB58" s="1"/>
    </row>
    <row r="59" spans="1:28">
      <c r="A59" s="190">
        <v>0.75</v>
      </c>
      <c r="B59" s="190">
        <v>0.4</v>
      </c>
      <c r="C59" s="1">
        <f>A59*3600/1000/SQRT(B59)</f>
        <v>4.2690748412273125</v>
      </c>
      <c r="D59" s="190">
        <f>20*C59</f>
        <v>85.381496824546247</v>
      </c>
      <c r="E59" s="243" t="s">
        <v>939</v>
      </c>
      <c r="R59" s="190">
        <v>10</v>
      </c>
      <c r="S59" s="190">
        <v>650</v>
      </c>
      <c r="T59" s="190">
        <v>600</v>
      </c>
      <c r="U59" s="190">
        <v>100</v>
      </c>
      <c r="V59" s="190">
        <f t="shared" si="22"/>
        <v>10.833333333333334</v>
      </c>
      <c r="W59" s="190">
        <f t="shared" si="23"/>
        <v>10</v>
      </c>
      <c r="Y59" s="190">
        <f t="shared" si="7"/>
        <v>690.41218592141217</v>
      </c>
      <c r="Z59" s="190">
        <f t="shared" si="24"/>
        <v>60</v>
      </c>
      <c r="AA59" s="190">
        <f t="shared" si="9"/>
        <v>8.6904607455508681E-2</v>
      </c>
      <c r="AB59" s="1">
        <f t="shared" si="10"/>
        <v>0.25227592207723176</v>
      </c>
    </row>
    <row r="60" spans="1:28">
      <c r="A60" s="190">
        <v>0.7</v>
      </c>
      <c r="B60" s="190">
        <v>0.75</v>
      </c>
      <c r="C60" s="1">
        <f>A60*3600/1000/SQRT(B60)</f>
        <v>2.9098453567157141</v>
      </c>
      <c r="D60" s="243">
        <f>20*C60</f>
        <v>58.19690713431428</v>
      </c>
      <c r="E60" s="243" t="s">
        <v>940</v>
      </c>
      <c r="R60" s="190">
        <v>12</v>
      </c>
      <c r="S60" s="190">
        <v>1050</v>
      </c>
      <c r="T60" s="190">
        <v>600</v>
      </c>
      <c r="U60" s="190">
        <v>100</v>
      </c>
      <c r="V60" s="190">
        <f t="shared" si="22"/>
        <v>17.5</v>
      </c>
      <c r="W60" s="190">
        <f t="shared" si="23"/>
        <v>12</v>
      </c>
      <c r="Y60" s="190">
        <f t="shared" si="7"/>
        <v>678.00521516738502</v>
      </c>
      <c r="Z60" s="190">
        <f t="shared" si="24"/>
        <v>60</v>
      </c>
      <c r="AA60" s="190">
        <f t="shared" si="9"/>
        <v>8.8494894519634756E-2</v>
      </c>
      <c r="AB60" s="1">
        <f t="shared" si="10"/>
        <v>0.41123441420559881</v>
      </c>
    </row>
    <row r="61" spans="1:28">
      <c r="A61" s="190">
        <v>0.33</v>
      </c>
      <c r="B61" s="190">
        <v>4.5</v>
      </c>
      <c r="C61" s="1">
        <f t="shared" ref="C61:C67" si="28">A61*3600/1000/SQRT(B61)</f>
        <v>0.56002857069974565</v>
      </c>
      <c r="D61" s="243">
        <f t="shared" ref="D61:D70" si="29">20*C61</f>
        <v>11.200571413994913</v>
      </c>
      <c r="R61" s="190">
        <v>14</v>
      </c>
      <c r="S61" s="190">
        <v>1600</v>
      </c>
      <c r="T61" s="190">
        <v>600</v>
      </c>
      <c r="U61" s="190">
        <v>100</v>
      </c>
      <c r="V61" s="190">
        <f t="shared" si="22"/>
        <v>26.666666666666668</v>
      </c>
      <c r="W61" s="190">
        <f t="shared" si="23"/>
        <v>14</v>
      </c>
      <c r="Y61" s="190">
        <f t="shared" si="7"/>
        <v>686.12073671607641</v>
      </c>
      <c r="Z61" s="190">
        <f t="shared" si="24"/>
        <v>60</v>
      </c>
      <c r="AA61" s="190">
        <f t="shared" si="9"/>
        <v>8.7448165882834411E-2</v>
      </c>
      <c r="AB61" s="1">
        <f t="shared" si="10"/>
        <v>0.62292588757472889</v>
      </c>
    </row>
    <row r="62" spans="1:28">
      <c r="A62" s="243">
        <f>1/3.5</f>
        <v>0.2857142857142857</v>
      </c>
      <c r="B62" s="243">
        <v>0.3</v>
      </c>
      <c r="C62" s="1">
        <f t="shared" si="28"/>
        <v>1.8779059114462837</v>
      </c>
      <c r="D62" s="243">
        <f t="shared" si="29"/>
        <v>37.558118228925672</v>
      </c>
      <c r="E62" s="243" t="s">
        <v>941</v>
      </c>
      <c r="R62" s="190">
        <v>15</v>
      </c>
      <c r="S62" s="190">
        <v>1900</v>
      </c>
      <c r="T62" s="190">
        <v>600</v>
      </c>
      <c r="U62" s="190">
        <v>100</v>
      </c>
      <c r="V62" s="190">
        <f t="shared" si="22"/>
        <v>31.666666666666668</v>
      </c>
      <c r="W62" s="190">
        <f t="shared" si="23"/>
        <v>15</v>
      </c>
      <c r="Y62" s="190">
        <f t="shared" si="7"/>
        <v>670.17421793472477</v>
      </c>
      <c r="Z62" s="190">
        <f t="shared" si="24"/>
        <v>60</v>
      </c>
      <c r="AA62" s="190">
        <f t="shared" si="9"/>
        <v>8.9528958880128129E-2</v>
      </c>
      <c r="AB62" s="1">
        <f t="shared" si="10"/>
        <v>0.74847347227490635</v>
      </c>
    </row>
    <row r="63" spans="1:28">
      <c r="A63" s="243">
        <v>0.2</v>
      </c>
      <c r="B63" s="243">
        <v>1.5</v>
      </c>
      <c r="C63" s="1">
        <f t="shared" si="28"/>
        <v>0.58787753826796274</v>
      </c>
      <c r="D63" s="243">
        <f t="shared" si="29"/>
        <v>11.757550765359255</v>
      </c>
      <c r="R63" s="190">
        <v>16</v>
      </c>
      <c r="S63" s="190">
        <v>2300</v>
      </c>
      <c r="T63" s="190">
        <v>600</v>
      </c>
      <c r="U63" s="190">
        <v>100</v>
      </c>
      <c r="V63" s="190">
        <f t="shared" si="22"/>
        <v>38.333333333333336</v>
      </c>
      <c r="W63" s="190">
        <f t="shared" si="23"/>
        <v>16</v>
      </c>
      <c r="Y63" s="190">
        <f t="shared" si="7"/>
        <v>690.87515994346211</v>
      </c>
      <c r="Z63" s="190">
        <f t="shared" si="24"/>
        <v>60</v>
      </c>
      <c r="AA63" s="190">
        <f t="shared" si="9"/>
        <v>8.6846370341220711E-2</v>
      </c>
      <c r="AB63" s="1">
        <f t="shared" si="10"/>
        <v>0.89236949659250797</v>
      </c>
    </row>
    <row r="64" spans="1:28">
      <c r="A64" s="243">
        <v>0.1</v>
      </c>
      <c r="B64" s="243">
        <v>1.8</v>
      </c>
      <c r="C64" s="1">
        <f t="shared" si="28"/>
        <v>0.26832815729997472</v>
      </c>
      <c r="D64" s="243">
        <f t="shared" si="29"/>
        <v>5.3665631459994945</v>
      </c>
      <c r="R64" s="190">
        <v>20</v>
      </c>
      <c r="S64" s="190">
        <v>3000</v>
      </c>
      <c r="T64" s="190">
        <v>340</v>
      </c>
      <c r="U64" s="190">
        <v>100</v>
      </c>
      <c r="V64" s="190">
        <f t="shared" si="22"/>
        <v>50</v>
      </c>
      <c r="W64" s="190">
        <f t="shared" si="23"/>
        <v>20</v>
      </c>
      <c r="Y64" s="190">
        <f t="shared" si="7"/>
        <v>387.61326574101832</v>
      </c>
      <c r="Z64" s="190">
        <f t="shared" si="24"/>
        <v>34</v>
      </c>
      <c r="AA64" s="190">
        <f t="shared" si="9"/>
        <v>8.7716296125728871E-2</v>
      </c>
      <c r="AB64" s="1">
        <f t="shared" si="10"/>
        <v>1.5539556089284099</v>
      </c>
    </row>
    <row r="65" spans="1:28">
      <c r="A65" s="243">
        <v>0.1</v>
      </c>
      <c r="B65" s="243">
        <v>1.8</v>
      </c>
      <c r="C65" s="1">
        <f t="shared" si="28"/>
        <v>0.26832815729997472</v>
      </c>
      <c r="D65" s="243">
        <f t="shared" si="29"/>
        <v>5.3665631459994945</v>
      </c>
      <c r="R65" s="190">
        <v>26</v>
      </c>
      <c r="S65" s="190">
        <v>3000</v>
      </c>
      <c r="T65" s="190">
        <v>95</v>
      </c>
      <c r="U65" s="190">
        <v>100</v>
      </c>
      <c r="V65" s="190">
        <f t="shared" si="22"/>
        <v>50</v>
      </c>
      <c r="W65" s="190">
        <f t="shared" si="23"/>
        <v>26</v>
      </c>
      <c r="Y65" s="190">
        <f t="shared" si="7"/>
        <v>114.43583523948965</v>
      </c>
      <c r="Z65" s="190">
        <f t="shared" si="24"/>
        <v>9.5</v>
      </c>
      <c r="AA65" s="190">
        <f t="shared" si="9"/>
        <v>8.3015953701203279E-2</v>
      </c>
      <c r="AB65" s="1">
        <f t="shared" si="10"/>
        <v>2.8599398717331597</v>
      </c>
    </row>
    <row r="66" spans="1:28" ht="15.75" thickBot="1">
      <c r="A66" s="243"/>
      <c r="B66" s="243"/>
      <c r="C66" s="47" t="s">
        <v>244</v>
      </c>
      <c r="D66" s="243"/>
      <c r="V66" s="9" t="s">
        <v>287</v>
      </c>
      <c r="Y66" s="9" t="s">
        <v>1</v>
      </c>
      <c r="AB66" s="1" t="s">
        <v>172</v>
      </c>
    </row>
    <row r="67" spans="1:28">
      <c r="A67" s="190">
        <f>1/9</f>
        <v>0.1111111111111111</v>
      </c>
      <c r="B67" s="190">
        <v>0.3</v>
      </c>
      <c r="C67" s="1">
        <f t="shared" si="28"/>
        <v>0.73029674334022154</v>
      </c>
      <c r="D67" s="243">
        <f t="shared" si="29"/>
        <v>14.60593486680443</v>
      </c>
      <c r="E67" s="243" t="s">
        <v>942</v>
      </c>
      <c r="H67" s="243" t="s">
        <v>943</v>
      </c>
      <c r="V67" s="3">
        <f>102/60</f>
        <v>1.7</v>
      </c>
      <c r="Y67" s="3">
        <v>4.2</v>
      </c>
      <c r="AB67" s="1">
        <f>V67*60/1000/SQRT(Y67/104)</f>
        <v>0.50756561855868165</v>
      </c>
    </row>
    <row r="68" spans="1:28">
      <c r="A68" s="190">
        <f>1/4.5</f>
        <v>0.22222222222222221</v>
      </c>
      <c r="B68" s="190">
        <v>1</v>
      </c>
      <c r="C68" s="1">
        <f t="shared" ref="C68:C70" si="30">A68*3600/1000/SQRT(B68)</f>
        <v>0.8</v>
      </c>
      <c r="D68" s="243">
        <f t="shared" si="29"/>
        <v>16</v>
      </c>
      <c r="E68" s="190">
        <f>11*11*3.14/4</f>
        <v>94.984999999999999</v>
      </c>
      <c r="F68" s="243" t="s">
        <v>412</v>
      </c>
    </row>
    <row r="69" spans="1:28">
      <c r="A69" s="190">
        <f>1/3.25</f>
        <v>0.30769230769230771</v>
      </c>
      <c r="B69" s="190">
        <v>2</v>
      </c>
      <c r="C69" s="1">
        <f t="shared" si="30"/>
        <v>0.78325674223740649</v>
      </c>
      <c r="D69" s="243">
        <f t="shared" si="29"/>
        <v>15.665134844748129</v>
      </c>
    </row>
    <row r="70" spans="1:28">
      <c r="A70" s="190">
        <f>1/2.2</f>
        <v>0.45454545454545453</v>
      </c>
      <c r="B70" s="190">
        <v>4</v>
      </c>
      <c r="C70" s="1">
        <f t="shared" si="30"/>
        <v>0.81818181818181812</v>
      </c>
      <c r="D70" s="243">
        <f t="shared" si="29"/>
        <v>16.363636363636363</v>
      </c>
      <c r="L70" s="243" t="s">
        <v>955</v>
      </c>
      <c r="S70" s="243" t="s">
        <v>946</v>
      </c>
      <c r="T70" s="243" t="s">
        <v>945</v>
      </c>
      <c r="U70" s="243" t="s">
        <v>1</v>
      </c>
      <c r="V70" s="92" t="s">
        <v>244</v>
      </c>
      <c r="W70" s="243" t="s">
        <v>953</v>
      </c>
    </row>
    <row r="71" spans="1:28" s="243" customFormat="1">
      <c r="A71" s="243" t="s">
        <v>946</v>
      </c>
      <c r="B71" s="243" t="s">
        <v>945</v>
      </c>
      <c r="C71" s="243" t="s">
        <v>1</v>
      </c>
      <c r="D71" s="92" t="s">
        <v>244</v>
      </c>
      <c r="E71" s="243" t="s">
        <v>953</v>
      </c>
      <c r="L71" s="243" t="s">
        <v>946</v>
      </c>
      <c r="M71" s="243" t="s">
        <v>945</v>
      </c>
      <c r="N71" s="243" t="s">
        <v>1</v>
      </c>
      <c r="O71" s="92" t="s">
        <v>244</v>
      </c>
      <c r="P71" s="243" t="s">
        <v>953</v>
      </c>
      <c r="S71" s="243">
        <v>0</v>
      </c>
      <c r="T71" s="190"/>
      <c r="U71" s="190">
        <v>0.1</v>
      </c>
      <c r="X71" s="243" t="s">
        <v>952</v>
      </c>
      <c r="Y71" s="190"/>
      <c r="Z71" s="190"/>
    </row>
    <row r="72" spans="1:28" s="243" customFormat="1">
      <c r="A72" s="243">
        <f>1/B72</f>
        <v>0.4</v>
      </c>
      <c r="B72" s="243">
        <v>2.5</v>
      </c>
      <c r="C72" s="1">
        <v>4</v>
      </c>
      <c r="D72" s="267">
        <f>3600/B72/1000/SQRT(C72)</f>
        <v>0.72</v>
      </c>
      <c r="E72" s="267">
        <f>1/D72/D72</f>
        <v>1.9290123456790123</v>
      </c>
      <c r="F72" s="243" t="s">
        <v>954</v>
      </c>
      <c r="L72" s="243">
        <f>1/M72</f>
        <v>0.2</v>
      </c>
      <c r="M72" s="243">
        <v>5</v>
      </c>
      <c r="N72" s="1">
        <v>1</v>
      </c>
      <c r="O72" s="267">
        <f>3600/M72/1000/SQRT(N72)</f>
        <v>0.72</v>
      </c>
      <c r="P72" s="267">
        <f>1/O72/O72</f>
        <v>1.9290123456790123</v>
      </c>
      <c r="S72" s="243">
        <f>1/T72</f>
        <v>0.1</v>
      </c>
      <c r="T72" s="190">
        <v>10</v>
      </c>
      <c r="U72" s="190">
        <v>0.1</v>
      </c>
      <c r="V72" s="267">
        <f>3600/T72/1000/SQRT(U72)</f>
        <v>1.1384199576606164</v>
      </c>
      <c r="W72" s="267">
        <f>1/V72/V72</f>
        <v>0.77160493827160515</v>
      </c>
      <c r="X72" s="190"/>
      <c r="Y72" s="190"/>
      <c r="Z72" s="190"/>
    </row>
    <row r="73" spans="1:28" s="243" customFormat="1">
      <c r="A73" s="243">
        <f>1/B73</f>
        <v>0.18181818181818182</v>
      </c>
      <c r="B73" s="243">
        <v>5.5</v>
      </c>
      <c r="C73" s="1">
        <v>1</v>
      </c>
      <c r="D73" s="267">
        <f>3600/B73/1000/SQRT(C73)</f>
        <v>0.65454545454545454</v>
      </c>
      <c r="E73" s="267">
        <f>1/D73/D73</f>
        <v>2.3341049382716048</v>
      </c>
      <c r="L73" s="243">
        <f>1/M73</f>
        <v>9.0909090909090912E-2</v>
      </c>
      <c r="M73" s="243">
        <v>11</v>
      </c>
      <c r="N73" s="1">
        <v>0.3</v>
      </c>
      <c r="O73" s="267">
        <f>3600/M73/1000/SQRT(N73)</f>
        <v>0.59751551727836305</v>
      </c>
      <c r="P73" s="267">
        <f>1/O73/O73</f>
        <v>2.8009259259259256</v>
      </c>
      <c r="S73" s="243">
        <f>1/T73</f>
        <v>0.1</v>
      </c>
      <c r="T73" s="190">
        <v>10</v>
      </c>
      <c r="U73" s="190">
        <v>0.22</v>
      </c>
      <c r="V73" s="267">
        <f>3600/T73/1000/SQRT(U73)</f>
        <v>0.76752257888019748</v>
      </c>
      <c r="W73" s="267">
        <f>1/V73/V73</f>
        <v>1.6975308641975311</v>
      </c>
      <c r="X73" s="190"/>
      <c r="Y73" s="190"/>
      <c r="Z73" s="190"/>
    </row>
    <row r="74" spans="1:28" s="243" customFormat="1">
      <c r="C74" s="1"/>
      <c r="F74" s="243">
        <f>11*11*3.14/4</f>
        <v>94.984999999999999</v>
      </c>
      <c r="G74" s="243" t="s">
        <v>412</v>
      </c>
      <c r="S74" s="243">
        <f>1/T74</f>
        <v>0.18181818181818182</v>
      </c>
      <c r="T74" s="190">
        <v>5.5</v>
      </c>
      <c r="U74" s="190">
        <v>0.5</v>
      </c>
      <c r="V74" s="267">
        <f>3600/T74/1000/SQRT(U74)</f>
        <v>0.92566705900784396</v>
      </c>
      <c r="W74" s="267">
        <f>1/V74/V74</f>
        <v>1.1670524691358026</v>
      </c>
      <c r="X74" s="190"/>
      <c r="Y74" s="190"/>
      <c r="Z74" s="190"/>
    </row>
    <row r="75" spans="1:28" s="243" customFormat="1">
      <c r="C75" s="1"/>
      <c r="F75" s="243">
        <v>1</v>
      </c>
      <c r="G75" s="243" t="s">
        <v>956</v>
      </c>
      <c r="L75" s="243">
        <f>1/M75</f>
        <v>0.27777777777777779</v>
      </c>
      <c r="M75" s="243">
        <f>3600/1000</f>
        <v>3.6</v>
      </c>
      <c r="N75" s="1">
        <v>0.5</v>
      </c>
      <c r="O75" s="267">
        <f>3600/M75/1000/SQRT(N75)</f>
        <v>1.4142135623730949</v>
      </c>
      <c r="P75" s="267">
        <f>1/O75/O75</f>
        <v>0.50000000000000011</v>
      </c>
      <c r="Q75" s="243" t="s">
        <v>957</v>
      </c>
      <c r="S75" s="190">
        <f>1/T75</f>
        <v>0.2</v>
      </c>
      <c r="T75" s="190">
        <v>5</v>
      </c>
      <c r="U75" s="190">
        <v>0.3</v>
      </c>
      <c r="V75" s="267">
        <f>3600/T75/1000/SQRT(U75)</f>
        <v>1.3145341380123987</v>
      </c>
      <c r="W75" s="267">
        <f>1/V75/V75</f>
        <v>0.57870370370370372</v>
      </c>
      <c r="X75" s="190"/>
      <c r="Y75" s="190"/>
      <c r="Z75" s="190"/>
    </row>
    <row r="76" spans="1:28" s="243" customFormat="1">
      <c r="C76" s="1"/>
      <c r="F76" s="243">
        <f>SQRT(20*F75)</f>
        <v>4.4721359549995796</v>
      </c>
      <c r="G76" s="243" t="s">
        <v>15</v>
      </c>
      <c r="S76" s="190"/>
      <c r="T76" s="190"/>
      <c r="U76" s="190"/>
      <c r="V76" s="190"/>
      <c r="W76" s="190"/>
      <c r="X76" s="190"/>
      <c r="Y76" s="190"/>
      <c r="Z76" s="190"/>
    </row>
    <row r="77" spans="1:28" s="243" customFormat="1">
      <c r="C77" s="1"/>
      <c r="F77" s="243">
        <f>F76*F74/1000</f>
        <v>0.42478583368563505</v>
      </c>
      <c r="G77" s="243" t="s">
        <v>17</v>
      </c>
      <c r="L77" s="243" t="s">
        <v>958</v>
      </c>
      <c r="S77" s="190"/>
      <c r="T77" s="190"/>
      <c r="U77" s="190"/>
      <c r="V77" s="190"/>
      <c r="W77" s="190"/>
      <c r="X77" s="190"/>
      <c r="Y77" s="190"/>
      <c r="Z77" s="190"/>
    </row>
    <row r="78" spans="1:28">
      <c r="L78" s="243" t="s">
        <v>946</v>
      </c>
      <c r="M78" s="243" t="s">
        <v>945</v>
      </c>
      <c r="N78" s="243" t="s">
        <v>436</v>
      </c>
      <c r="O78" s="92" t="s">
        <v>244</v>
      </c>
      <c r="P78" s="243" t="s">
        <v>953</v>
      </c>
    </row>
    <row r="79" spans="1:28">
      <c r="A79" s="243" t="s">
        <v>944</v>
      </c>
      <c r="L79" s="243">
        <f>1/M79</f>
        <v>0.5</v>
      </c>
      <c r="M79" s="243">
        <v>2</v>
      </c>
      <c r="N79" s="1">
        <v>0.9</v>
      </c>
      <c r="O79" s="267">
        <f>3600/M79/1000/SQRT(N79)</f>
        <v>1.8973665961010278</v>
      </c>
      <c r="P79" s="267">
        <f>1/O79/O79</f>
        <v>0.27777777777777773</v>
      </c>
      <c r="R79" s="243" t="s">
        <v>959</v>
      </c>
    </row>
    <row r="80" spans="1:28">
      <c r="L80" s="243">
        <f>1/M80</f>
        <v>0.33333333333333331</v>
      </c>
      <c r="M80" s="243">
        <v>3</v>
      </c>
      <c r="N80" s="1">
        <v>2</v>
      </c>
      <c r="O80" s="267">
        <f>3600/M80/1000/SQRT(N80)</f>
        <v>0.84852813742385691</v>
      </c>
      <c r="P80" s="267">
        <f>1/O80/O80</f>
        <v>1.3888888888888895</v>
      </c>
    </row>
    <row r="81" spans="1:18">
      <c r="A81" s="243" t="s">
        <v>946</v>
      </c>
      <c r="B81" s="243" t="s">
        <v>945</v>
      </c>
      <c r="C81" s="243" t="s">
        <v>436</v>
      </c>
      <c r="D81" s="92" t="s">
        <v>244</v>
      </c>
      <c r="E81" s="243" t="s">
        <v>953</v>
      </c>
      <c r="L81" s="243">
        <f>1/M81</f>
        <v>0.16666666666666666</v>
      </c>
      <c r="M81" s="243">
        <v>6</v>
      </c>
      <c r="N81" s="1">
        <v>3</v>
      </c>
      <c r="O81" s="267">
        <f>3600/M81/1000/SQRT(N81)</f>
        <v>0.34641016151377546</v>
      </c>
      <c r="P81" s="267">
        <f>1/O81/O81</f>
        <v>8.3333333333333321</v>
      </c>
    </row>
    <row r="82" spans="1:18">
      <c r="A82" s="243">
        <f>1/B82</f>
        <v>8.3333333333333329E-2</v>
      </c>
      <c r="B82" s="164">
        <v>12</v>
      </c>
      <c r="C82" s="164">
        <v>0.05</v>
      </c>
      <c r="D82" s="267">
        <f>3600/B82/1000/SQRT(C82)</f>
        <v>1.3416407864998738</v>
      </c>
      <c r="E82" s="267">
        <f>1/D82/D82</f>
        <v>0.55555555555555558</v>
      </c>
      <c r="F82" s="243" t="s">
        <v>947</v>
      </c>
      <c r="L82" s="243">
        <v>0</v>
      </c>
      <c r="M82" s="243"/>
      <c r="N82" s="1">
        <v>3.7</v>
      </c>
      <c r="O82" s="267"/>
      <c r="P82" s="267"/>
    </row>
    <row r="83" spans="1:18">
      <c r="A83" s="243">
        <f t="shared" ref="A83:A86" si="31">1/B83</f>
        <v>7.6923076923076927E-2</v>
      </c>
      <c r="B83" s="164">
        <v>13</v>
      </c>
      <c r="C83" s="164">
        <v>0.8</v>
      </c>
      <c r="D83" s="267">
        <f>3600/B83/1000/SQRT(C83)</f>
        <v>0.30960941226920163</v>
      </c>
      <c r="E83" s="267">
        <f t="shared" ref="E83:E86" si="32">1/D83/D83</f>
        <v>10.4320987654321</v>
      </c>
      <c r="F83" s="243" t="s">
        <v>948</v>
      </c>
    </row>
    <row r="84" spans="1:18">
      <c r="A84" s="243">
        <f t="shared" si="31"/>
        <v>9.0909090909090912E-2</v>
      </c>
      <c r="B84" s="190">
        <v>11</v>
      </c>
      <c r="C84" s="190">
        <v>0.25</v>
      </c>
      <c r="D84" s="267">
        <f t="shared" ref="D84:D86" si="33">3600/B84/1000/SQRT(C84)</f>
        <v>0.65454545454545454</v>
      </c>
      <c r="E84" s="267">
        <f t="shared" si="32"/>
        <v>2.3341049382716048</v>
      </c>
      <c r="F84" s="243" t="s">
        <v>949</v>
      </c>
      <c r="L84" s="243" t="s">
        <v>960</v>
      </c>
      <c r="M84" s="243"/>
      <c r="N84" s="1"/>
      <c r="O84" s="267"/>
      <c r="P84" s="267"/>
    </row>
    <row r="85" spans="1:18">
      <c r="A85" s="243">
        <f t="shared" si="31"/>
        <v>0.14285714285714285</v>
      </c>
      <c r="B85" s="190">
        <v>7</v>
      </c>
      <c r="C85" s="190">
        <v>0.7</v>
      </c>
      <c r="D85" s="267">
        <f t="shared" si="33"/>
        <v>0.61468899908625962</v>
      </c>
      <c r="E85" s="267">
        <f t="shared" si="32"/>
        <v>2.6466049382716048</v>
      </c>
      <c r="F85" s="243" t="s">
        <v>950</v>
      </c>
      <c r="L85" s="243" t="s">
        <v>946</v>
      </c>
      <c r="M85" s="243" t="s">
        <v>945</v>
      </c>
      <c r="N85" s="243" t="s">
        <v>436</v>
      </c>
      <c r="O85" s="92" t="s">
        <v>244</v>
      </c>
      <c r="P85" s="243" t="s">
        <v>953</v>
      </c>
    </row>
    <row r="86" spans="1:18">
      <c r="A86" s="243">
        <f t="shared" si="31"/>
        <v>0.14285714285714285</v>
      </c>
      <c r="B86" s="190">
        <v>7</v>
      </c>
      <c r="C86" s="190">
        <v>0.6</v>
      </c>
      <c r="D86" s="267">
        <f t="shared" si="33"/>
        <v>0.66394000220698579</v>
      </c>
      <c r="E86" s="267">
        <f t="shared" si="32"/>
        <v>2.2685185185185182</v>
      </c>
      <c r="F86" s="243" t="s">
        <v>951</v>
      </c>
      <c r="L86" s="243">
        <v>0</v>
      </c>
      <c r="M86" s="243"/>
      <c r="N86" s="1">
        <v>2.8</v>
      </c>
      <c r="O86" s="267" t="e">
        <f>3600/M86/1000/SQRT(N86)</f>
        <v>#DIV/0!</v>
      </c>
      <c r="P86" s="267" t="e">
        <f>1/O86/O86</f>
        <v>#DIV/0!</v>
      </c>
    </row>
    <row r="87" spans="1:18">
      <c r="A87" s="243"/>
      <c r="E87" s="267"/>
      <c r="L87" s="243">
        <f t="shared" ref="L87:L93" si="34">1/M87</f>
        <v>0.05</v>
      </c>
      <c r="M87" s="243">
        <v>20</v>
      </c>
      <c r="N87" s="1">
        <v>1.9</v>
      </c>
      <c r="O87" s="267">
        <f t="shared" ref="O87:O93" si="35">3600/M87/1000/SQRT(N87)</f>
        <v>0.13058572501980209</v>
      </c>
      <c r="P87" s="267">
        <f t="shared" ref="P87:P93" si="36">1/O87/O87</f>
        <v>58.641975308641989</v>
      </c>
    </row>
    <row r="88" spans="1:18">
      <c r="A88" s="243" t="s">
        <v>969</v>
      </c>
      <c r="L88" s="243">
        <f t="shared" si="34"/>
        <v>9.0909090909090912E-2</v>
      </c>
      <c r="M88" s="243">
        <v>11</v>
      </c>
      <c r="N88" s="1">
        <v>1.6</v>
      </c>
      <c r="O88" s="267">
        <f t="shared" si="35"/>
        <v>0.258731808559231</v>
      </c>
      <c r="P88" s="267">
        <f t="shared" si="36"/>
        <v>14.938271604938276</v>
      </c>
    </row>
    <row r="89" spans="1:18">
      <c r="A89" s="243">
        <f t="shared" ref="A89:A91" si="37">1/B89</f>
        <v>0.2</v>
      </c>
      <c r="B89" s="243">
        <v>5</v>
      </c>
      <c r="C89" s="243">
        <v>0.2</v>
      </c>
      <c r="D89" s="267">
        <f t="shared" ref="D89:D91" si="38">3600/B89/1000/SQRT(C89)</f>
        <v>1.6099689437998486</v>
      </c>
      <c r="E89" s="267">
        <f t="shared" ref="E89:E91" si="39">1/D89/D89</f>
        <v>0.38580246913580246</v>
      </c>
      <c r="F89" s="243" t="s">
        <v>965</v>
      </c>
      <c r="G89" s="243" t="s">
        <v>966</v>
      </c>
      <c r="L89" s="243">
        <f t="shared" si="34"/>
        <v>0.125</v>
      </c>
      <c r="M89" s="243">
        <v>8</v>
      </c>
      <c r="N89" s="1">
        <v>1.4</v>
      </c>
      <c r="O89" s="267">
        <f t="shared" si="35"/>
        <v>0.38031941462783247</v>
      </c>
      <c r="P89" s="267">
        <f t="shared" si="36"/>
        <v>6.9135802469135799</v>
      </c>
    </row>
    <row r="90" spans="1:18">
      <c r="A90" s="243">
        <f t="shared" si="37"/>
        <v>0.2</v>
      </c>
      <c r="B90" s="243">
        <v>5</v>
      </c>
      <c r="C90" s="243">
        <v>0.22</v>
      </c>
      <c r="D90" s="267">
        <f t="shared" si="38"/>
        <v>1.535045157760395</v>
      </c>
      <c r="E90" s="267">
        <f t="shared" si="39"/>
        <v>0.42438271604938277</v>
      </c>
      <c r="F90" s="243" t="s">
        <v>967</v>
      </c>
      <c r="G90" s="243" t="s">
        <v>968</v>
      </c>
      <c r="L90" s="243">
        <f t="shared" si="34"/>
        <v>0.2857142857142857</v>
      </c>
      <c r="M90" s="243">
        <v>3.5</v>
      </c>
      <c r="N90" s="1">
        <v>0.2</v>
      </c>
      <c r="O90" s="267">
        <f t="shared" si="35"/>
        <v>2.299955633999784</v>
      </c>
      <c r="P90" s="267">
        <f t="shared" si="36"/>
        <v>0.18904320987654316</v>
      </c>
    </row>
    <row r="91" spans="1:18">
      <c r="A91" s="243">
        <f t="shared" si="37"/>
        <v>0.2</v>
      </c>
      <c r="B91" s="243">
        <v>5</v>
      </c>
      <c r="C91" s="243">
        <v>0.18</v>
      </c>
      <c r="D91" s="267">
        <f t="shared" si="38"/>
        <v>1.697056274847714</v>
      </c>
      <c r="E91" s="267">
        <f t="shared" si="39"/>
        <v>0.34722222222222227</v>
      </c>
      <c r="F91" s="243" t="s">
        <v>964</v>
      </c>
      <c r="L91" s="243">
        <f t="shared" si="34"/>
        <v>0.2857142857142857</v>
      </c>
      <c r="M91" s="243">
        <v>3.5</v>
      </c>
      <c r="N91" s="1">
        <v>0.25</v>
      </c>
      <c r="O91" s="267">
        <f t="shared" si="35"/>
        <v>2.0571428571428574</v>
      </c>
      <c r="P91" s="267">
        <f t="shared" si="36"/>
        <v>0.23630401234567897</v>
      </c>
      <c r="Q91" s="243" t="s">
        <v>962</v>
      </c>
    </row>
    <row r="92" spans="1:18">
      <c r="A92" s="243">
        <f t="shared" ref="A92" si="40">1/B92</f>
        <v>0.16666666666666666</v>
      </c>
      <c r="B92" s="243">
        <v>6</v>
      </c>
      <c r="C92" s="243">
        <v>0.65</v>
      </c>
      <c r="D92" s="267">
        <f t="shared" ref="D92" si="41">3600/B92/1000/SQRT(C92)</f>
        <v>0.74420840753525064</v>
      </c>
      <c r="E92" s="267">
        <f t="shared" ref="E92" si="42">1/D92/D92</f>
        <v>1.805555555555556</v>
      </c>
      <c r="F92" s="243" t="s">
        <v>970</v>
      </c>
      <c r="G92" s="243"/>
      <c r="L92" s="243">
        <f t="shared" si="34"/>
        <v>0.2857142857142857</v>
      </c>
      <c r="M92" s="243">
        <v>3.5</v>
      </c>
      <c r="N92" s="1">
        <v>0.3</v>
      </c>
      <c r="O92" s="267">
        <f t="shared" si="35"/>
        <v>1.8779059114462842</v>
      </c>
      <c r="P92" s="267">
        <f t="shared" si="36"/>
        <v>0.28356481481481471</v>
      </c>
      <c r="Q92" s="243" t="s">
        <v>963</v>
      </c>
    </row>
    <row r="93" spans="1:18">
      <c r="L93" s="243">
        <f t="shared" si="34"/>
        <v>0.22222222222222221</v>
      </c>
      <c r="M93" s="243">
        <v>4.5</v>
      </c>
      <c r="N93" s="1">
        <v>0.15</v>
      </c>
      <c r="O93" s="267">
        <f t="shared" si="35"/>
        <v>2.0655911179772892</v>
      </c>
      <c r="P93" s="267">
        <f t="shared" si="36"/>
        <v>0.23437499999999994</v>
      </c>
      <c r="Q93" s="243" t="s">
        <v>961</v>
      </c>
    </row>
    <row r="94" spans="1:18">
      <c r="L94" s="243"/>
      <c r="M94" s="243"/>
      <c r="N94" s="1"/>
      <c r="O94" s="267"/>
      <c r="P94" s="267"/>
      <c r="Q94" s="243">
        <f>20*20*3.14/4</f>
        <v>314</v>
      </c>
      <c r="R94" s="243" t="s">
        <v>412</v>
      </c>
    </row>
    <row r="95" spans="1:18">
      <c r="L95" s="243"/>
      <c r="M95" s="243"/>
      <c r="N95" s="1"/>
      <c r="O95" s="267"/>
      <c r="P95" s="267"/>
      <c r="Q95" s="243">
        <v>0.03</v>
      </c>
      <c r="R95" s="243" t="s">
        <v>956</v>
      </c>
    </row>
    <row r="96" spans="1:18">
      <c r="G96" s="190">
        <f>325/3600</f>
        <v>9.0277777777777776E-2</v>
      </c>
      <c r="Q96" s="243">
        <f>SQRT(20*Q95)</f>
        <v>0.7745966692414834</v>
      </c>
      <c r="R96" s="243" t="s">
        <v>15</v>
      </c>
    </row>
    <row r="97" spans="7:18">
      <c r="G97" s="190">
        <f>A92/G96</f>
        <v>1.846153846153846</v>
      </c>
      <c r="Q97" s="243">
        <f>Q96*Q94/1000</f>
        <v>0.24322335414182578</v>
      </c>
      <c r="R97" s="243" t="s">
        <v>17</v>
      </c>
    </row>
    <row r="98" spans="7:18">
      <c r="G98" s="190">
        <f>G97*G97</f>
        <v>3.4082840236686387</v>
      </c>
    </row>
    <row r="99" spans="7:18">
      <c r="G99" s="190">
        <f>C92/G98</f>
        <v>0.19071180555555559</v>
      </c>
      <c r="H99" s="243" t="s">
        <v>971</v>
      </c>
    </row>
  </sheetData>
  <sortState ref="S71:W75">
    <sortCondition ref="S71:S75"/>
  </sortState>
  <hyperlinks>
    <hyperlink ref="R12" r:id="rId1"/>
    <hyperlink ref="X12" r:id="rId2"/>
    <hyperlink ref="U13" r:id="rId3"/>
    <hyperlink ref="A6" r:id="rId4"/>
    <hyperlink ref="A1" r:id="rId5"/>
  </hyperlinks>
  <pageMargins left="0.7" right="0.7" top="0.78740157499999996" bottom="0.78740157499999996" header="0.3" footer="0.3"/>
  <drawing r:id="rId6"/>
</worksheet>
</file>

<file path=xl/worksheets/sheet8.xml><?xml version="1.0" encoding="utf-8"?>
<worksheet xmlns="http://schemas.openxmlformats.org/spreadsheetml/2006/main" xmlns:r="http://schemas.openxmlformats.org/officeDocument/2006/relationships">
  <dimension ref="A1:BD219"/>
  <sheetViews>
    <sheetView topLeftCell="A185" workbookViewId="0">
      <selection activeCell="D186" sqref="D186"/>
    </sheetView>
  </sheetViews>
  <sheetFormatPr defaultRowHeight="15"/>
  <cols>
    <col min="1" max="2" width="9.140625" style="297"/>
    <col min="3" max="3" width="17.7109375" style="297" customWidth="1"/>
    <col min="4" max="4" width="22.28515625" style="297" customWidth="1"/>
    <col min="5" max="5" width="16.85546875" style="297" customWidth="1"/>
    <col min="6" max="6" width="21.28515625" style="297" customWidth="1"/>
    <col min="7" max="16384" width="9.140625" style="297"/>
  </cols>
  <sheetData>
    <row r="1" spans="1:4">
      <c r="B1" s="297" t="s">
        <v>1161</v>
      </c>
    </row>
    <row r="3" spans="1:4">
      <c r="A3" s="297" t="s">
        <v>1160</v>
      </c>
    </row>
    <row r="4" spans="1:4">
      <c r="A4" s="297" t="s">
        <v>1159</v>
      </c>
    </row>
    <row r="5" spans="1:4">
      <c r="A5" s="297" t="s">
        <v>1158</v>
      </c>
    </row>
    <row r="6" spans="1:4">
      <c r="A6" s="297" t="s">
        <v>1157</v>
      </c>
    </row>
    <row r="7" spans="1:4">
      <c r="A7" s="297" t="s">
        <v>1156</v>
      </c>
    </row>
    <row r="9" spans="1:4">
      <c r="A9" s="297" t="s">
        <v>1155</v>
      </c>
    </row>
    <row r="10" spans="1:4">
      <c r="A10" s="297" t="s">
        <v>1154</v>
      </c>
    </row>
    <row r="14" spans="1:4">
      <c r="A14" s="154" t="s">
        <v>1153</v>
      </c>
      <c r="B14" s="154"/>
      <c r="C14" s="154"/>
      <c r="D14" s="154"/>
    </row>
    <row r="17" spans="1:7">
      <c r="B17" s="297" t="s">
        <v>1152</v>
      </c>
    </row>
    <row r="18" spans="1:7">
      <c r="B18" s="297" t="s">
        <v>902</v>
      </c>
      <c r="D18" s="297" t="s">
        <v>903</v>
      </c>
      <c r="G18" s="297" t="s">
        <v>904</v>
      </c>
    </row>
    <row r="19" spans="1:7">
      <c r="B19" s="297">
        <f>3600*B21</f>
        <v>360</v>
      </c>
      <c r="E19" s="297" t="s">
        <v>905</v>
      </c>
      <c r="G19" s="297">
        <f>3600*G21</f>
        <v>360</v>
      </c>
    </row>
    <row r="20" spans="1:7">
      <c r="B20" s="297" t="s">
        <v>906</v>
      </c>
      <c r="C20" s="297" t="s">
        <v>907</v>
      </c>
      <c r="F20" s="297" t="s">
        <v>908</v>
      </c>
      <c r="G20" s="297" t="s">
        <v>909</v>
      </c>
    </row>
    <row r="21" spans="1:7">
      <c r="A21" s="297">
        <v>1</v>
      </c>
      <c r="B21" s="154">
        <v>0.1</v>
      </c>
      <c r="C21" s="154">
        <v>80</v>
      </c>
      <c r="D21" s="154">
        <v>1000</v>
      </c>
      <c r="E21" s="264">
        <f t="shared" ref="E21:E31" si="0">(C21-F21)*D21/10</f>
        <v>2000</v>
      </c>
      <c r="F21" s="154">
        <v>60</v>
      </c>
      <c r="G21" s="154">
        <v>0.1</v>
      </c>
    </row>
    <row r="22" spans="1:7">
      <c r="A22" s="297">
        <v>2</v>
      </c>
      <c r="B22" s="297">
        <f t="shared" ref="B22:B31" si="1">B21</f>
        <v>0.1</v>
      </c>
      <c r="C22" s="297">
        <f t="shared" ref="C22:C31" si="2">C21-E21/B21/4200</f>
        <v>75.238095238095241</v>
      </c>
      <c r="D22" s="297">
        <f t="shared" ref="D22:D31" si="3">D21</f>
        <v>1000</v>
      </c>
      <c r="E22" s="297">
        <f t="shared" si="0"/>
        <v>2000</v>
      </c>
      <c r="F22" s="297">
        <f t="shared" ref="F22:F31" si="4">F21-E21/G21/4200</f>
        <v>55.238095238095241</v>
      </c>
      <c r="G22" s="297">
        <f t="shared" ref="G22:G31" si="5">G21</f>
        <v>0.1</v>
      </c>
    </row>
    <row r="23" spans="1:7">
      <c r="A23" s="297">
        <v>3</v>
      </c>
      <c r="B23" s="297">
        <f t="shared" si="1"/>
        <v>0.1</v>
      </c>
      <c r="C23" s="297">
        <f t="shared" si="2"/>
        <v>70.476190476190482</v>
      </c>
      <c r="D23" s="297">
        <f t="shared" si="3"/>
        <v>1000</v>
      </c>
      <c r="E23" s="297">
        <f t="shared" si="0"/>
        <v>2000</v>
      </c>
      <c r="F23" s="297">
        <f t="shared" si="4"/>
        <v>50.476190476190482</v>
      </c>
      <c r="G23" s="297">
        <f t="shared" si="5"/>
        <v>0.1</v>
      </c>
    </row>
    <row r="24" spans="1:7">
      <c r="A24" s="297">
        <v>4</v>
      </c>
      <c r="B24" s="297">
        <f t="shared" si="1"/>
        <v>0.1</v>
      </c>
      <c r="C24" s="297">
        <f t="shared" si="2"/>
        <v>65.714285714285722</v>
      </c>
      <c r="D24" s="297">
        <f t="shared" si="3"/>
        <v>1000</v>
      </c>
      <c r="E24" s="297">
        <f t="shared" si="0"/>
        <v>2000</v>
      </c>
      <c r="F24" s="297">
        <f t="shared" si="4"/>
        <v>45.714285714285722</v>
      </c>
      <c r="G24" s="297">
        <f t="shared" si="5"/>
        <v>0.1</v>
      </c>
    </row>
    <row r="25" spans="1:7">
      <c r="A25" s="297">
        <v>5</v>
      </c>
      <c r="B25" s="297">
        <f t="shared" si="1"/>
        <v>0.1</v>
      </c>
      <c r="C25" s="297">
        <f t="shared" si="2"/>
        <v>60.952380952380963</v>
      </c>
      <c r="D25" s="297">
        <f t="shared" si="3"/>
        <v>1000</v>
      </c>
      <c r="E25" s="297">
        <f t="shared" si="0"/>
        <v>2000</v>
      </c>
      <c r="F25" s="297">
        <f t="shared" si="4"/>
        <v>40.952380952380963</v>
      </c>
      <c r="G25" s="297">
        <f t="shared" si="5"/>
        <v>0.1</v>
      </c>
    </row>
    <row r="26" spans="1:7">
      <c r="A26" s="297">
        <v>6</v>
      </c>
      <c r="B26" s="297">
        <f t="shared" si="1"/>
        <v>0.1</v>
      </c>
      <c r="C26" s="297">
        <f t="shared" si="2"/>
        <v>56.190476190476204</v>
      </c>
      <c r="D26" s="297">
        <f t="shared" si="3"/>
        <v>1000</v>
      </c>
      <c r="E26" s="297">
        <f t="shared" si="0"/>
        <v>2000</v>
      </c>
      <c r="F26" s="297">
        <f t="shared" si="4"/>
        <v>36.190476190476204</v>
      </c>
      <c r="G26" s="297">
        <f t="shared" si="5"/>
        <v>0.1</v>
      </c>
    </row>
    <row r="27" spans="1:7">
      <c r="A27" s="297">
        <v>7</v>
      </c>
      <c r="B27" s="297">
        <f t="shared" si="1"/>
        <v>0.1</v>
      </c>
      <c r="C27" s="297">
        <f t="shared" si="2"/>
        <v>51.428571428571445</v>
      </c>
      <c r="D27" s="297">
        <f t="shared" si="3"/>
        <v>1000</v>
      </c>
      <c r="E27" s="297">
        <f t="shared" si="0"/>
        <v>2000.0000000000005</v>
      </c>
      <c r="F27" s="297">
        <f t="shared" si="4"/>
        <v>31.428571428571441</v>
      </c>
      <c r="G27" s="297">
        <f t="shared" si="5"/>
        <v>0.1</v>
      </c>
    </row>
    <row r="28" spans="1:7">
      <c r="A28" s="297">
        <v>8</v>
      </c>
      <c r="B28" s="297">
        <f t="shared" si="1"/>
        <v>0.1</v>
      </c>
      <c r="C28" s="297">
        <f t="shared" si="2"/>
        <v>46.666666666666686</v>
      </c>
      <c r="D28" s="297">
        <f t="shared" si="3"/>
        <v>1000</v>
      </c>
      <c r="E28" s="297">
        <f t="shared" si="0"/>
        <v>2000.0000000000007</v>
      </c>
      <c r="F28" s="297">
        <f t="shared" si="4"/>
        <v>26.666666666666679</v>
      </c>
      <c r="G28" s="297">
        <f t="shared" si="5"/>
        <v>0.1</v>
      </c>
    </row>
    <row r="29" spans="1:7">
      <c r="A29" s="297">
        <v>9</v>
      </c>
      <c r="B29" s="297">
        <f t="shared" si="1"/>
        <v>0.1</v>
      </c>
      <c r="C29" s="297">
        <f t="shared" si="2"/>
        <v>41.904761904761919</v>
      </c>
      <c r="D29" s="297">
        <f t="shared" si="3"/>
        <v>1000</v>
      </c>
      <c r="E29" s="297">
        <f t="shared" si="0"/>
        <v>2000.0000000000005</v>
      </c>
      <c r="F29" s="297">
        <f t="shared" si="4"/>
        <v>21.904761904761916</v>
      </c>
      <c r="G29" s="297">
        <f t="shared" si="5"/>
        <v>0.1</v>
      </c>
    </row>
    <row r="30" spans="1:7">
      <c r="A30" s="297">
        <v>10</v>
      </c>
      <c r="B30" s="297">
        <f t="shared" si="1"/>
        <v>0.1</v>
      </c>
      <c r="C30" s="297">
        <f t="shared" si="2"/>
        <v>37.142857142857153</v>
      </c>
      <c r="D30" s="297">
        <f t="shared" si="3"/>
        <v>1000</v>
      </c>
      <c r="E30" s="297">
        <f t="shared" si="0"/>
        <v>2000</v>
      </c>
      <c r="F30" s="297">
        <f t="shared" si="4"/>
        <v>17.142857142857153</v>
      </c>
      <c r="G30" s="297">
        <f t="shared" si="5"/>
        <v>0.1</v>
      </c>
    </row>
    <row r="31" spans="1:7">
      <c r="A31" s="297">
        <v>11</v>
      </c>
      <c r="B31" s="297">
        <f t="shared" si="1"/>
        <v>0.1</v>
      </c>
      <c r="C31" s="297">
        <f t="shared" si="2"/>
        <v>32.380952380952394</v>
      </c>
      <c r="D31" s="297">
        <f t="shared" si="3"/>
        <v>1000</v>
      </c>
      <c r="E31" s="297">
        <f t="shared" si="0"/>
        <v>2000.0000000000005</v>
      </c>
      <c r="F31" s="297">
        <f t="shared" si="4"/>
        <v>12.38095238095239</v>
      </c>
      <c r="G31" s="297">
        <f t="shared" si="5"/>
        <v>0.1</v>
      </c>
    </row>
    <row r="33" spans="1:8">
      <c r="A33" s="297" t="s">
        <v>910</v>
      </c>
      <c r="C33" s="297">
        <f>(C21-C31)*B21*4200</f>
        <v>19999.999999999996</v>
      </c>
      <c r="E33" s="297">
        <f>SUM(E21:E30)</f>
        <v>20000</v>
      </c>
      <c r="F33" s="297">
        <f>(F21-F31)*G21*4200</f>
        <v>19999.999999999996</v>
      </c>
    </row>
    <row r="35" spans="1:8">
      <c r="B35" s="297" t="s">
        <v>1151</v>
      </c>
    </row>
    <row r="36" spans="1:8">
      <c r="B36" s="297" t="s">
        <v>902</v>
      </c>
      <c r="D36" s="297" t="s">
        <v>903</v>
      </c>
      <c r="G36" s="297" t="s">
        <v>904</v>
      </c>
    </row>
    <row r="37" spans="1:8">
      <c r="B37" s="297">
        <f>3600*B39</f>
        <v>360</v>
      </c>
      <c r="E37" s="297" t="s">
        <v>905</v>
      </c>
      <c r="G37" s="297">
        <f>3600*G39</f>
        <v>216</v>
      </c>
    </row>
    <row r="38" spans="1:8">
      <c r="B38" s="297" t="s">
        <v>906</v>
      </c>
      <c r="C38" s="297" t="s">
        <v>907</v>
      </c>
      <c r="F38" s="297" t="s">
        <v>908</v>
      </c>
      <c r="G38" s="297" t="s">
        <v>909</v>
      </c>
      <c r="H38" s="297" t="s">
        <v>89</v>
      </c>
    </row>
    <row r="39" spans="1:8">
      <c r="A39" s="297">
        <v>1</v>
      </c>
      <c r="B39" s="154">
        <v>0.1</v>
      </c>
      <c r="C39" s="154">
        <v>80</v>
      </c>
      <c r="D39" s="154">
        <v>500</v>
      </c>
      <c r="E39" s="298">
        <f t="shared" ref="E39:E49" si="6">(C39-F39)*D39/10</f>
        <v>1000</v>
      </c>
      <c r="F39" s="154">
        <v>60</v>
      </c>
      <c r="G39" s="154">
        <v>0.06</v>
      </c>
      <c r="H39" s="297">
        <f>3600*G39</f>
        <v>216</v>
      </c>
    </row>
    <row r="40" spans="1:8">
      <c r="A40" s="297">
        <v>2</v>
      </c>
      <c r="B40" s="297">
        <f t="shared" ref="B40:B49" si="7">B39</f>
        <v>0.1</v>
      </c>
      <c r="C40" s="297">
        <f t="shared" ref="C40:C49" si="8">C39-E39/B39/4200</f>
        <v>77.61904761904762</v>
      </c>
      <c r="D40" s="297">
        <f t="shared" ref="D40:D49" si="9">D39</f>
        <v>500</v>
      </c>
      <c r="E40" s="297">
        <f t="shared" si="6"/>
        <v>1079.3650793650795</v>
      </c>
      <c r="F40" s="297">
        <f t="shared" ref="F40:F49" si="10">F39-E39/G39/4200</f>
        <v>56.031746031746032</v>
      </c>
      <c r="G40" s="297">
        <f t="shared" ref="G40:G48" si="11">G39</f>
        <v>0.06</v>
      </c>
    </row>
    <row r="41" spans="1:8">
      <c r="A41" s="297">
        <v>3</v>
      </c>
      <c r="B41" s="297">
        <f t="shared" si="7"/>
        <v>0.1</v>
      </c>
      <c r="C41" s="297">
        <f t="shared" si="8"/>
        <v>75.049130763416485</v>
      </c>
      <c r="D41" s="297">
        <f t="shared" si="9"/>
        <v>500</v>
      </c>
      <c r="E41" s="297">
        <f t="shared" si="6"/>
        <v>1165.0289745527848</v>
      </c>
      <c r="F41" s="297">
        <f t="shared" si="10"/>
        <v>51.748551272360793</v>
      </c>
      <c r="G41" s="297">
        <f t="shared" si="11"/>
        <v>0.06</v>
      </c>
    </row>
    <row r="42" spans="1:8">
      <c r="A42" s="297">
        <v>4</v>
      </c>
      <c r="B42" s="297">
        <f t="shared" si="7"/>
        <v>0.1</v>
      </c>
      <c r="C42" s="297">
        <f t="shared" si="8"/>
        <v>72.275252252576522</v>
      </c>
      <c r="D42" s="297">
        <f t="shared" si="9"/>
        <v>500</v>
      </c>
      <c r="E42" s="297">
        <f t="shared" si="6"/>
        <v>1257.4915915807837</v>
      </c>
      <c r="F42" s="297">
        <f t="shared" si="10"/>
        <v>47.12542042096085</v>
      </c>
      <c r="G42" s="297">
        <f t="shared" si="11"/>
        <v>0.06</v>
      </c>
    </row>
    <row r="43" spans="1:8">
      <c r="A43" s="297">
        <v>5</v>
      </c>
      <c r="B43" s="297">
        <f t="shared" si="7"/>
        <v>0.1</v>
      </c>
      <c r="C43" s="297">
        <f t="shared" si="8"/>
        <v>69.281224653574654</v>
      </c>
      <c r="D43" s="297">
        <f t="shared" si="9"/>
        <v>500</v>
      </c>
      <c r="E43" s="297">
        <f t="shared" si="6"/>
        <v>1357.2925115475123</v>
      </c>
      <c r="F43" s="297">
        <f t="shared" si="10"/>
        <v>42.135374422624409</v>
      </c>
      <c r="G43" s="297">
        <f t="shared" si="11"/>
        <v>0.06</v>
      </c>
    </row>
    <row r="44" spans="1:8">
      <c r="A44" s="297">
        <v>6</v>
      </c>
      <c r="B44" s="297">
        <f t="shared" si="7"/>
        <v>0.1</v>
      </c>
      <c r="C44" s="297">
        <f t="shared" si="8"/>
        <v>66.049575816556768</v>
      </c>
      <c r="D44" s="297">
        <f t="shared" si="9"/>
        <v>500</v>
      </c>
      <c r="E44" s="297">
        <f t="shared" si="6"/>
        <v>1465.0141394481086</v>
      </c>
      <c r="F44" s="297">
        <f t="shared" si="10"/>
        <v>36.749293027594597</v>
      </c>
      <c r="G44" s="297">
        <f t="shared" si="11"/>
        <v>0.06</v>
      </c>
    </row>
    <row r="45" spans="1:8">
      <c r="A45" s="297">
        <v>7</v>
      </c>
      <c r="B45" s="297">
        <f t="shared" si="7"/>
        <v>0.1</v>
      </c>
      <c r="C45" s="297">
        <f t="shared" si="8"/>
        <v>62.561446913108888</v>
      </c>
      <c r="D45" s="297">
        <f t="shared" si="9"/>
        <v>500</v>
      </c>
      <c r="E45" s="297">
        <f t="shared" si="6"/>
        <v>1581.285102896371</v>
      </c>
      <c r="F45" s="297">
        <f t="shared" si="10"/>
        <v>30.935744855181468</v>
      </c>
      <c r="G45" s="297">
        <f t="shared" si="11"/>
        <v>0.06</v>
      </c>
    </row>
    <row r="46" spans="1:8">
      <c r="A46" s="297">
        <v>8</v>
      </c>
      <c r="B46" s="297">
        <f t="shared" si="7"/>
        <v>0.1</v>
      </c>
      <c r="C46" s="297">
        <f t="shared" si="8"/>
        <v>58.796482382403241</v>
      </c>
      <c r="D46" s="297">
        <f t="shared" si="9"/>
        <v>500</v>
      </c>
      <c r="E46" s="297">
        <f t="shared" si="6"/>
        <v>1706.7839205865589</v>
      </c>
      <c r="F46" s="297">
        <f t="shared" si="10"/>
        <v>24.66080397067206</v>
      </c>
      <c r="G46" s="297">
        <f t="shared" si="11"/>
        <v>0.06</v>
      </c>
    </row>
    <row r="47" spans="1:8">
      <c r="A47" s="297">
        <v>9</v>
      </c>
      <c r="B47" s="297">
        <f t="shared" si="7"/>
        <v>0.1</v>
      </c>
      <c r="C47" s="297">
        <f t="shared" si="8"/>
        <v>54.732711142911434</v>
      </c>
      <c r="D47" s="297">
        <f t="shared" si="9"/>
        <v>500</v>
      </c>
      <c r="E47" s="297">
        <f t="shared" si="6"/>
        <v>1842.2429619029524</v>
      </c>
      <c r="F47" s="297">
        <f t="shared" si="10"/>
        <v>17.887851904852383</v>
      </c>
      <c r="G47" s="297">
        <f t="shared" si="11"/>
        <v>0.06</v>
      </c>
    </row>
    <row r="48" spans="1:8">
      <c r="A48" s="297">
        <v>10</v>
      </c>
      <c r="B48" s="297">
        <f t="shared" si="7"/>
        <v>0.1</v>
      </c>
      <c r="C48" s="297">
        <f t="shared" si="8"/>
        <v>50.346418376475832</v>
      </c>
      <c r="D48" s="297">
        <f t="shared" si="9"/>
        <v>500</v>
      </c>
      <c r="E48" s="297">
        <f t="shared" si="6"/>
        <v>1988.4527207841395</v>
      </c>
      <c r="F48" s="297">
        <f t="shared" si="10"/>
        <v>10.577363960793047</v>
      </c>
      <c r="G48" s="297">
        <f t="shared" si="11"/>
        <v>0.06</v>
      </c>
    </row>
    <row r="49" spans="1:38">
      <c r="A49" s="297">
        <v>11</v>
      </c>
      <c r="B49" s="297">
        <f t="shared" si="7"/>
        <v>0.1</v>
      </c>
      <c r="C49" s="297">
        <f t="shared" si="8"/>
        <v>45.612007136513597</v>
      </c>
      <c r="D49" s="297">
        <f t="shared" si="9"/>
        <v>500</v>
      </c>
      <c r="E49" s="297">
        <f t="shared" si="6"/>
        <v>2146.2664287828802</v>
      </c>
      <c r="F49" s="297">
        <f t="shared" si="10"/>
        <v>2.6866785608559853</v>
      </c>
      <c r="U49" s="297">
        <v>38.520000000000003</v>
      </c>
    </row>
    <row r="50" spans="1:38">
      <c r="U50" s="297">
        <f>U49/13/1.5</f>
        <v>1.9753846153846155</v>
      </c>
    </row>
    <row r="51" spans="1:38">
      <c r="A51" s="297" t="s">
        <v>910</v>
      </c>
      <c r="C51" s="297">
        <f>(C39-C49)*B39*4200</f>
        <v>14442.957002664289</v>
      </c>
      <c r="E51" s="297">
        <f>SUM(E39:E48)</f>
        <v>14442.95700266429</v>
      </c>
      <c r="F51" s="297">
        <f>(F39-F49)*G39*4200</f>
        <v>14442.95700266429</v>
      </c>
    </row>
    <row r="53" spans="1:38">
      <c r="U53" s="297">
        <f>13*2100*1.4</f>
        <v>38220</v>
      </c>
    </row>
    <row r="54" spans="1:38">
      <c r="A54" s="297" t="s">
        <v>1150</v>
      </c>
    </row>
    <row r="55" spans="1:38">
      <c r="AB55" s="297" t="s">
        <v>1149</v>
      </c>
      <c r="AC55" s="297" t="s">
        <v>1090</v>
      </c>
      <c r="AI55" s="297" t="s">
        <v>1148</v>
      </c>
    </row>
    <row r="56" spans="1:38">
      <c r="A56" s="297" t="s">
        <v>1147</v>
      </c>
      <c r="J56" s="73"/>
      <c r="K56" s="73"/>
      <c r="L56" s="73"/>
      <c r="M56" s="73"/>
      <c r="N56" s="73"/>
      <c r="O56" s="73"/>
      <c r="P56" s="73"/>
      <c r="Q56" s="73"/>
      <c r="R56" s="73"/>
      <c r="S56" s="73"/>
      <c r="T56" s="73"/>
      <c r="U56" s="73" t="s">
        <v>1146</v>
      </c>
      <c r="V56" s="73"/>
      <c r="W56" s="73"/>
      <c r="AA56" s="297" t="s">
        <v>1145</v>
      </c>
      <c r="AB56" s="297">
        <v>10.7</v>
      </c>
      <c r="AC56" s="297">
        <f>AB56*3600</f>
        <v>38520</v>
      </c>
      <c r="AI56" s="297" t="s">
        <v>1017</v>
      </c>
      <c r="AJ56" s="297" t="s">
        <v>474</v>
      </c>
      <c r="AK56" s="297" t="s">
        <v>1144</v>
      </c>
    </row>
    <row r="57" spans="1:38">
      <c r="A57" s="297" t="s">
        <v>1143</v>
      </c>
      <c r="U57" s="297" t="s">
        <v>1142</v>
      </c>
      <c r="X57" s="297">
        <f>3.6*10.5</f>
        <v>37.800000000000004</v>
      </c>
      <c r="AA57" s="297" t="s">
        <v>1141</v>
      </c>
      <c r="AC57" s="297">
        <f>AC56/1000</f>
        <v>38.520000000000003</v>
      </c>
      <c r="AD57" s="297" t="s">
        <v>1090</v>
      </c>
      <c r="AI57" s="297">
        <v>-50</v>
      </c>
      <c r="AJ57" s="297">
        <v>1.5826</v>
      </c>
      <c r="AK57" s="297">
        <f>273+AI57</f>
        <v>223</v>
      </c>
      <c r="AL57" s="297">
        <f>AJ57*AK57</f>
        <v>352.91980000000001</v>
      </c>
    </row>
    <row r="58" spans="1:38">
      <c r="A58" s="297" t="s">
        <v>1140</v>
      </c>
      <c r="U58" s="297" t="s">
        <v>1139</v>
      </c>
      <c r="AA58" s="297">
        <v>10</v>
      </c>
      <c r="AB58" s="297" t="s">
        <v>1138</v>
      </c>
      <c r="AI58" s="297">
        <v>25</v>
      </c>
      <c r="AJ58" s="297">
        <v>1.1845000000000001</v>
      </c>
      <c r="AK58" s="297">
        <f>273+AI58</f>
        <v>298</v>
      </c>
      <c r="AL58" s="297">
        <f>AJ58*AK58</f>
        <v>352.98100000000005</v>
      </c>
    </row>
    <row r="59" spans="1:38">
      <c r="A59" s="297" t="s">
        <v>1137</v>
      </c>
      <c r="U59" s="297" t="s">
        <v>1136</v>
      </c>
      <c r="AA59" s="297">
        <f>AA58/1000*1200</f>
        <v>12</v>
      </c>
      <c r="AB59" s="297" t="s">
        <v>1135</v>
      </c>
      <c r="AC59" s="297">
        <v>1</v>
      </c>
      <c r="AD59" s="297" t="s">
        <v>1134</v>
      </c>
      <c r="AE59" s="297">
        <v>3000</v>
      </c>
      <c r="AF59" s="297" t="s">
        <v>664</v>
      </c>
      <c r="AG59" s="297">
        <f>AE59*AC59*AA59</f>
        <v>36000</v>
      </c>
      <c r="AH59" s="297" t="s">
        <v>1077</v>
      </c>
      <c r="AI59" s="297">
        <v>70</v>
      </c>
      <c r="AJ59" s="297">
        <v>1.0289999999999999</v>
      </c>
      <c r="AK59" s="297">
        <f>273+AI59</f>
        <v>343</v>
      </c>
      <c r="AL59" s="297">
        <f>AJ59*AK59</f>
        <v>352.94699999999995</v>
      </c>
    </row>
    <row r="60" spans="1:38">
      <c r="A60" s="297" t="s">
        <v>1133</v>
      </c>
      <c r="AI60" s="297">
        <v>3000</v>
      </c>
      <c r="AJ60" s="297">
        <f>AL60/AK60</f>
        <v>0.10782157042468682</v>
      </c>
      <c r="AK60" s="297">
        <f>273+AI60</f>
        <v>3273</v>
      </c>
      <c r="AL60" s="297">
        <v>352.9</v>
      </c>
    </row>
    <row r="61" spans="1:38">
      <c r="A61" s="297" t="s">
        <v>1132</v>
      </c>
      <c r="AA61" s="86" t="s">
        <v>1131</v>
      </c>
      <c r="AI61" s="297" t="s">
        <v>1130</v>
      </c>
    </row>
    <row r="62" spans="1:38">
      <c r="A62" s="297" t="s">
        <v>1129</v>
      </c>
      <c r="T62" s="297" t="s">
        <v>1128</v>
      </c>
      <c r="U62" s="154">
        <v>1E-3</v>
      </c>
      <c r="V62" s="297" t="s">
        <v>1121</v>
      </c>
      <c r="W62" s="297" t="s">
        <v>1127</v>
      </c>
    </row>
    <row r="63" spans="1:38">
      <c r="A63" s="297" t="s">
        <v>1126</v>
      </c>
      <c r="T63" s="154">
        <v>1</v>
      </c>
      <c r="U63" s="297">
        <f>T63*10*$U$62</f>
        <v>0.01</v>
      </c>
      <c r="V63" s="297" t="s">
        <v>1121</v>
      </c>
      <c r="W63" s="297" t="s">
        <v>472</v>
      </c>
      <c r="AA63" s="297" t="s">
        <v>1125</v>
      </c>
      <c r="AB63" s="297" t="s">
        <v>1124</v>
      </c>
    </row>
    <row r="64" spans="1:38">
      <c r="A64" s="297" t="s">
        <v>1123</v>
      </c>
      <c r="T64" s="154">
        <v>1.5</v>
      </c>
      <c r="U64" s="297">
        <f>T64*10*$U$62</f>
        <v>1.4999999999999999E-2</v>
      </c>
      <c r="V64" s="297" t="s">
        <v>1121</v>
      </c>
      <c r="W64" s="297" t="s">
        <v>472</v>
      </c>
      <c r="AA64" s="297">
        <v>37520</v>
      </c>
      <c r="AB64" s="297">
        <f>AA64/3600</f>
        <v>10.422222222222222</v>
      </c>
    </row>
    <row r="65" spans="1:56">
      <c r="A65" s="297" t="s">
        <v>1122</v>
      </c>
      <c r="T65" s="154">
        <v>2.4</v>
      </c>
      <c r="U65" s="297">
        <f>T65*10*$U$62</f>
        <v>2.4E-2</v>
      </c>
      <c r="V65" s="297" t="s">
        <v>1121</v>
      </c>
      <c r="W65" s="297" t="s">
        <v>472</v>
      </c>
    </row>
    <row r="66" spans="1:56">
      <c r="A66" s="297" t="s">
        <v>1120</v>
      </c>
      <c r="Z66" s="297" t="s">
        <v>1119</v>
      </c>
      <c r="AA66" s="297">
        <v>37889</v>
      </c>
      <c r="AB66" s="297">
        <f>AA66/3600</f>
        <v>10.524722222222222</v>
      </c>
    </row>
    <row r="67" spans="1:56">
      <c r="A67" s="297" t="s">
        <v>1118</v>
      </c>
      <c r="Z67" s="297" t="s">
        <v>1117</v>
      </c>
      <c r="AA67" s="297">
        <v>38231</v>
      </c>
      <c r="AB67" s="297">
        <f>AA67/3600</f>
        <v>10.619722222222222</v>
      </c>
    </row>
    <row r="68" spans="1:56">
      <c r="A68" s="297" t="s">
        <v>1116</v>
      </c>
      <c r="T68" s="154">
        <v>165</v>
      </c>
      <c r="V68" s="297" t="s">
        <v>1115</v>
      </c>
      <c r="Z68" s="297" t="s">
        <v>1114</v>
      </c>
      <c r="AA68" s="297">
        <v>42000</v>
      </c>
      <c r="AB68" s="297">
        <f>AA68/3600</f>
        <v>11.666666666666666</v>
      </c>
    </row>
    <row r="69" spans="1:56">
      <c r="A69" s="297" t="s">
        <v>1113</v>
      </c>
      <c r="T69" s="154">
        <v>20</v>
      </c>
      <c r="V69" s="297" t="s">
        <v>1112</v>
      </c>
      <c r="Z69" s="297" t="s">
        <v>1111</v>
      </c>
      <c r="AA69" s="297">
        <v>33320</v>
      </c>
      <c r="AB69" s="297">
        <f>AA69/3600</f>
        <v>9.2555555555555564</v>
      </c>
    </row>
    <row r="70" spans="1:56">
      <c r="A70" s="297" t="s">
        <v>1110</v>
      </c>
      <c r="T70" s="297">
        <f>T68-T69</f>
        <v>145</v>
      </c>
      <c r="V70" s="297" t="s">
        <v>1109</v>
      </c>
      <c r="X70" s="297" t="s">
        <v>1108</v>
      </c>
    </row>
    <row r="71" spans="1:56">
      <c r="A71" s="297" t="s">
        <v>1107</v>
      </c>
      <c r="S71" s="297">
        <f>U63</f>
        <v>0.01</v>
      </c>
      <c r="T71" s="297">
        <f>T70</f>
        <v>145</v>
      </c>
      <c r="U71" s="297">
        <f>S71*T71*1.23*1.04</f>
        <v>1.8548399999999998</v>
      </c>
      <c r="V71" s="297" t="s">
        <v>59</v>
      </c>
      <c r="X71" s="297">
        <f>U71/X57</f>
        <v>4.9069841269841256E-2</v>
      </c>
      <c r="AA71" s="86" t="s">
        <v>1106</v>
      </c>
      <c r="AM71" s="297" t="s">
        <v>1105</v>
      </c>
    </row>
    <row r="72" spans="1:56">
      <c r="S72" s="297">
        <f>U64</f>
        <v>1.4999999999999999E-2</v>
      </c>
      <c r="T72" s="297">
        <f>T71</f>
        <v>145</v>
      </c>
      <c r="U72" s="297">
        <f>S72*T72*1.23*1.04</f>
        <v>2.78226</v>
      </c>
      <c r="X72" s="297">
        <f>U72/X57</f>
        <v>7.3604761904761895E-2</v>
      </c>
      <c r="AA72" s="297" t="s">
        <v>1104</v>
      </c>
      <c r="AM72" s="265">
        <v>8.6E+25</v>
      </c>
      <c r="AN72" s="297" t="s">
        <v>1103</v>
      </c>
      <c r="AT72" s="297" t="s">
        <v>1102</v>
      </c>
    </row>
    <row r="73" spans="1:56">
      <c r="S73" s="297">
        <f>U65</f>
        <v>2.4E-2</v>
      </c>
      <c r="T73" s="297">
        <f>T72</f>
        <v>145</v>
      </c>
      <c r="U73" s="297">
        <f>S73*T73*1.23*1.04</f>
        <v>4.4516160000000005</v>
      </c>
      <c r="X73" s="297">
        <f>U73/X57</f>
        <v>0.11776761904761905</v>
      </c>
      <c r="AA73" s="297" t="s">
        <v>1101</v>
      </c>
      <c r="AC73" s="297">
        <f>2780+273</f>
        <v>3053</v>
      </c>
      <c r="AT73" s="297" t="s">
        <v>1100</v>
      </c>
    </row>
    <row r="74" spans="1:56">
      <c r="AA74" s="303" t="s">
        <v>1099</v>
      </c>
      <c r="AM74" s="297" t="s">
        <v>1098</v>
      </c>
      <c r="AT74" s="297" t="s">
        <v>1069</v>
      </c>
    </row>
    <row r="75" spans="1:56">
      <c r="A75" s="297" t="s">
        <v>1074</v>
      </c>
      <c r="S75" s="297" t="s">
        <v>1097</v>
      </c>
      <c r="AA75" s="297">
        <f>3/11*3053</f>
        <v>832.63636363636363</v>
      </c>
      <c r="AB75" s="297">
        <f>AA75-273</f>
        <v>559.63636363636363</v>
      </c>
      <c r="AC75" s="297" t="s">
        <v>1096</v>
      </c>
    </row>
    <row r="76" spans="1:56">
      <c r="B76" s="297" t="s">
        <v>902</v>
      </c>
      <c r="D76" s="297" t="s">
        <v>903</v>
      </c>
      <c r="G76" s="297" t="s">
        <v>904</v>
      </c>
      <c r="AT76" s="297" t="s">
        <v>1066</v>
      </c>
      <c r="AU76" s="297" t="s">
        <v>1065</v>
      </c>
      <c r="AV76" s="297" t="s">
        <v>1064</v>
      </c>
      <c r="AW76" s="297" t="s">
        <v>1063</v>
      </c>
      <c r="AX76" s="297" t="s">
        <v>1062</v>
      </c>
      <c r="AY76" s="297" t="s">
        <v>1061</v>
      </c>
      <c r="AZ76" s="297" t="s">
        <v>1060</v>
      </c>
      <c r="BA76" s="297" t="s">
        <v>1059</v>
      </c>
      <c r="BB76" s="297" t="s">
        <v>472</v>
      </c>
    </row>
    <row r="77" spans="1:56">
      <c r="B77" s="297">
        <f>3600*B79</f>
        <v>18</v>
      </c>
      <c r="E77" s="297" t="s">
        <v>905</v>
      </c>
      <c r="G77" s="297">
        <f>3600*G79</f>
        <v>252.00000000000003</v>
      </c>
      <c r="AA77" s="86" t="s">
        <v>1095</v>
      </c>
      <c r="AM77" s="86" t="s">
        <v>1094</v>
      </c>
      <c r="AT77" s="297">
        <v>0</v>
      </c>
      <c r="AU77" s="297">
        <v>1.2809999999999999</v>
      </c>
      <c r="AV77" s="297">
        <v>1.3029999999999999</v>
      </c>
      <c r="AW77" s="297">
        <v>1.306</v>
      </c>
      <c r="AX77" s="297">
        <v>1.2989999999999999</v>
      </c>
      <c r="AY77" s="297">
        <v>1.49</v>
      </c>
      <c r="AZ77" s="297">
        <v>1.62</v>
      </c>
      <c r="BA77" s="297">
        <v>1.7789999999999999</v>
      </c>
      <c r="BB77" s="297">
        <v>1.298</v>
      </c>
      <c r="BC77" s="297">
        <f t="shared" ref="BC77:BC107" si="12">BB115</f>
        <v>1.0049999999999999</v>
      </c>
      <c r="BD77" s="297">
        <f t="shared" ref="BD77:BD107" si="13">BB77/BC77</f>
        <v>1.2915422885572141</v>
      </c>
    </row>
    <row r="78" spans="1:56">
      <c r="B78" s="297" t="s">
        <v>17</v>
      </c>
      <c r="C78" s="297" t="s">
        <v>907</v>
      </c>
      <c r="F78" s="297" t="s">
        <v>908</v>
      </c>
      <c r="G78" s="297" t="s">
        <v>22</v>
      </c>
      <c r="AT78" s="297">
        <v>100</v>
      </c>
      <c r="AU78" s="297">
        <v>1.2929999999999999</v>
      </c>
      <c r="AV78" s="297">
        <v>1.304</v>
      </c>
      <c r="AW78" s="297">
        <v>1.3180000000000001</v>
      </c>
      <c r="AX78" s="297">
        <v>1.302</v>
      </c>
      <c r="AY78" s="297">
        <v>1.498</v>
      </c>
      <c r="AZ78" s="297">
        <v>1.7250000000000001</v>
      </c>
      <c r="BA78" s="297">
        <v>1.863</v>
      </c>
      <c r="BB78" s="297">
        <v>1.302</v>
      </c>
      <c r="BC78" s="297">
        <f t="shared" si="12"/>
        <v>1.0049999999999999</v>
      </c>
      <c r="BD78" s="297">
        <f t="shared" si="13"/>
        <v>1.2955223880597018</v>
      </c>
    </row>
    <row r="79" spans="1:56">
      <c r="A79" s="297">
        <v>1</v>
      </c>
      <c r="B79" s="154">
        <v>5.0000000000000001E-3</v>
      </c>
      <c r="C79" s="154">
        <v>1000</v>
      </c>
      <c r="D79" s="154">
        <v>90</v>
      </c>
      <c r="E79" s="264">
        <f t="shared" ref="E79:E89" si="14">(C79-F79)*D79/10</f>
        <v>8100</v>
      </c>
      <c r="F79" s="154">
        <v>100</v>
      </c>
      <c r="G79" s="154">
        <v>7.0000000000000007E-2</v>
      </c>
      <c r="AA79" s="86" t="s">
        <v>1093</v>
      </c>
      <c r="AG79" s="302" t="s">
        <v>1092</v>
      </c>
      <c r="AT79" s="297">
        <v>200</v>
      </c>
      <c r="AU79" s="297">
        <v>1.2969999999999999</v>
      </c>
      <c r="AV79" s="297">
        <v>1.31</v>
      </c>
      <c r="AW79" s="297">
        <v>1.335</v>
      </c>
      <c r="AX79" s="297">
        <v>1.3069999999999999</v>
      </c>
      <c r="AY79" s="297">
        <v>1.5189999999999999</v>
      </c>
      <c r="AZ79" s="297">
        <v>1.8169999999999999</v>
      </c>
      <c r="BA79" s="297">
        <v>1.9419999999999999</v>
      </c>
      <c r="BB79" s="297">
        <v>1.31</v>
      </c>
      <c r="BC79" s="297">
        <f t="shared" si="12"/>
        <v>1.0129999999999999</v>
      </c>
      <c r="BD79" s="297">
        <f t="shared" si="13"/>
        <v>1.2931885488647583</v>
      </c>
    </row>
    <row r="80" spans="1:56">
      <c r="A80" s="297">
        <v>2</v>
      </c>
      <c r="B80" s="297">
        <f t="shared" ref="B80:B89" si="15">B79</f>
        <v>5.0000000000000001E-3</v>
      </c>
      <c r="C80" s="297">
        <f t="shared" ref="C80:C89" si="16">C79-E79/B79/4200</f>
        <v>614.28571428571422</v>
      </c>
      <c r="D80" s="297">
        <f t="shared" ref="D80:D89" si="17">D79</f>
        <v>90</v>
      </c>
      <c r="E80" s="297">
        <f t="shared" si="14"/>
        <v>4876.5306122448974</v>
      </c>
      <c r="F80" s="297">
        <f t="shared" ref="F80:F89" si="18">F79-E79/G79/4200</f>
        <v>72.448979591836732</v>
      </c>
      <c r="G80" s="297">
        <f t="shared" ref="G80:G88" si="19">G79</f>
        <v>7.0000000000000007E-2</v>
      </c>
      <c r="AT80" s="297">
        <v>300</v>
      </c>
      <c r="AU80" s="297">
        <v>1.302</v>
      </c>
      <c r="AV80" s="297">
        <v>1.3140000000000001</v>
      </c>
      <c r="AW80" s="297">
        <v>1.3560000000000001</v>
      </c>
      <c r="AX80" s="297">
        <v>1.3169999999999999</v>
      </c>
      <c r="AY80" s="297">
        <v>1.536</v>
      </c>
      <c r="AZ80" s="297">
        <v>1.8919999999999999</v>
      </c>
      <c r="BA80" s="297">
        <v>2.0099999999999998</v>
      </c>
      <c r="BB80" s="297">
        <v>1.319</v>
      </c>
      <c r="BC80" s="297">
        <f t="shared" si="12"/>
        <v>1.022</v>
      </c>
      <c r="BD80" s="297">
        <f t="shared" si="13"/>
        <v>1.2906066536203522</v>
      </c>
    </row>
    <row r="81" spans="1:56">
      <c r="A81" s="297">
        <v>3</v>
      </c>
      <c r="B81" s="297">
        <f t="shared" si="15"/>
        <v>5.0000000000000001E-3</v>
      </c>
      <c r="C81" s="297">
        <f t="shared" si="16"/>
        <v>382.06997084548107</v>
      </c>
      <c r="D81" s="297">
        <f t="shared" si="17"/>
        <v>90</v>
      </c>
      <c r="E81" s="297">
        <f t="shared" si="14"/>
        <v>2935.8704706372346</v>
      </c>
      <c r="F81" s="297">
        <f t="shared" si="18"/>
        <v>55.862140774677215</v>
      </c>
      <c r="G81" s="297">
        <f t="shared" si="19"/>
        <v>7.0000000000000007E-2</v>
      </c>
      <c r="AA81" s="297" t="s">
        <v>1091</v>
      </c>
      <c r="AT81" s="297">
        <v>400</v>
      </c>
      <c r="AU81" s="297">
        <v>1.304</v>
      </c>
      <c r="AV81" s="297">
        <v>1.325</v>
      </c>
      <c r="AW81" s="297">
        <v>1.381</v>
      </c>
      <c r="AX81" s="297">
        <v>1.329</v>
      </c>
      <c r="AY81" s="297">
        <v>1.5569999999999999</v>
      </c>
      <c r="AZ81" s="297">
        <v>1.9550000000000001</v>
      </c>
      <c r="BA81" s="297">
        <v>2.0720000000000001</v>
      </c>
      <c r="BB81" s="297">
        <v>1.331</v>
      </c>
      <c r="BC81" s="297">
        <f t="shared" si="12"/>
        <v>1.03</v>
      </c>
      <c r="BD81" s="297">
        <f t="shared" si="13"/>
        <v>1.2922330097087378</v>
      </c>
    </row>
    <row r="82" spans="1:56">
      <c r="A82" s="297">
        <v>4</v>
      </c>
      <c r="B82" s="297">
        <f t="shared" si="15"/>
        <v>5.0000000000000001E-3</v>
      </c>
      <c r="C82" s="297">
        <f t="shared" si="16"/>
        <v>242.26661510085086</v>
      </c>
      <c r="D82" s="297">
        <f t="shared" si="17"/>
        <v>90</v>
      </c>
      <c r="E82" s="297">
        <f t="shared" si="14"/>
        <v>1767.5138547713966</v>
      </c>
      <c r="F82" s="297">
        <f t="shared" si="18"/>
        <v>45.876186792917913</v>
      </c>
      <c r="G82" s="297">
        <f t="shared" si="19"/>
        <v>7.0000000000000007E-2</v>
      </c>
      <c r="AA82" s="297">
        <f>X57</f>
        <v>37.800000000000004</v>
      </c>
      <c r="AB82" s="297" t="s">
        <v>1090</v>
      </c>
      <c r="AT82" s="297">
        <v>500</v>
      </c>
      <c r="AU82" s="297">
        <v>1.306</v>
      </c>
      <c r="AV82" s="297">
        <v>1.335</v>
      </c>
      <c r="AW82" s="297">
        <v>1.4019999999999999</v>
      </c>
      <c r="AX82" s="297">
        <v>1.343</v>
      </c>
      <c r="AY82" s="297">
        <v>1.5820000000000001</v>
      </c>
      <c r="AZ82" s="297">
        <v>2.0219999999999998</v>
      </c>
      <c r="BA82" s="297">
        <v>2.1230000000000002</v>
      </c>
      <c r="BB82" s="297">
        <v>1.3440000000000001</v>
      </c>
      <c r="BC82" s="297">
        <f t="shared" si="12"/>
        <v>1.042</v>
      </c>
      <c r="BD82" s="297">
        <f t="shared" si="13"/>
        <v>1.289827255278311</v>
      </c>
    </row>
    <row r="83" spans="1:56">
      <c r="A83" s="297">
        <v>5</v>
      </c>
      <c r="B83" s="297">
        <f t="shared" si="15"/>
        <v>5.0000000000000001E-3</v>
      </c>
      <c r="C83" s="297">
        <f t="shared" si="16"/>
        <v>158.0992886831653</v>
      </c>
      <c r="D83" s="297">
        <f t="shared" si="17"/>
        <v>90</v>
      </c>
      <c r="E83" s="297">
        <f t="shared" si="14"/>
        <v>1064.1154839950243</v>
      </c>
      <c r="F83" s="297">
        <f t="shared" si="18"/>
        <v>39.864234905940371</v>
      </c>
      <c r="G83" s="297">
        <f t="shared" si="19"/>
        <v>7.0000000000000007E-2</v>
      </c>
      <c r="AA83" s="297">
        <v>100</v>
      </c>
      <c r="AB83" s="297" t="s">
        <v>1</v>
      </c>
      <c r="AT83" s="297">
        <v>600</v>
      </c>
      <c r="AU83" s="297">
        <v>1.3080000000000001</v>
      </c>
      <c r="AV83" s="297">
        <v>1.3480000000000001</v>
      </c>
      <c r="AW83" s="297">
        <v>1.419</v>
      </c>
      <c r="AX83" s="297">
        <v>1.357</v>
      </c>
      <c r="AY83" s="297">
        <v>1.607</v>
      </c>
      <c r="AZ83" s="297">
        <v>2.0760000000000001</v>
      </c>
      <c r="BA83" s="297">
        <v>2.169</v>
      </c>
      <c r="BB83" s="297">
        <v>1.3560000000000001</v>
      </c>
      <c r="BC83" s="297">
        <f t="shared" si="12"/>
        <v>1.0509999999999999</v>
      </c>
      <c r="BD83" s="297">
        <f t="shared" si="13"/>
        <v>1.2901998097050429</v>
      </c>
    </row>
    <row r="84" spans="1:56">
      <c r="A84" s="297">
        <v>6</v>
      </c>
      <c r="B84" s="297">
        <f t="shared" si="15"/>
        <v>5.0000000000000001E-3</v>
      </c>
      <c r="C84" s="297">
        <f t="shared" si="16"/>
        <v>107.42712277864032</v>
      </c>
      <c r="D84" s="297">
        <f t="shared" si="17"/>
        <v>90</v>
      </c>
      <c r="E84" s="297">
        <f t="shared" si="14"/>
        <v>640.64095465006562</v>
      </c>
      <c r="F84" s="297">
        <f t="shared" si="18"/>
        <v>36.244794484188589</v>
      </c>
      <c r="G84" s="297">
        <f t="shared" si="19"/>
        <v>7.0000000000000007E-2</v>
      </c>
      <c r="AA84" s="297">
        <f>AA82/AA83</f>
        <v>0.37800000000000006</v>
      </c>
      <c r="AB84" s="297" t="s">
        <v>1089</v>
      </c>
      <c r="AT84" s="297">
        <v>700</v>
      </c>
      <c r="AU84" s="297">
        <v>1.31</v>
      </c>
      <c r="AV84" s="297">
        <v>1.36</v>
      </c>
      <c r="AW84" s="297">
        <v>1.4359999999999999</v>
      </c>
      <c r="AX84" s="297">
        <v>1.3720000000000001</v>
      </c>
      <c r="AY84" s="297">
        <v>1.6339999999999999</v>
      </c>
      <c r="AZ84" s="297">
        <v>2.1219999999999999</v>
      </c>
      <c r="BA84" s="297">
        <v>2.206</v>
      </c>
      <c r="BB84" s="297">
        <v>1.373</v>
      </c>
      <c r="BC84" s="297">
        <f t="shared" si="12"/>
        <v>1.0589999999999999</v>
      </c>
      <c r="BD84" s="297">
        <f t="shared" si="13"/>
        <v>1.2965061378659113</v>
      </c>
    </row>
    <row r="85" spans="1:56">
      <c r="A85" s="297">
        <v>7</v>
      </c>
      <c r="B85" s="297">
        <f t="shared" si="15"/>
        <v>5.0000000000000001E-3</v>
      </c>
      <c r="C85" s="297">
        <f t="shared" si="16"/>
        <v>76.920410652446719</v>
      </c>
      <c r="D85" s="297">
        <f t="shared" si="17"/>
        <v>90</v>
      </c>
      <c r="E85" s="297">
        <f t="shared" si="14"/>
        <v>385.69200330973337</v>
      </c>
      <c r="F85" s="297">
        <f t="shared" si="18"/>
        <v>34.065743618031902</v>
      </c>
      <c r="G85" s="297">
        <f t="shared" si="19"/>
        <v>7.0000000000000007E-2</v>
      </c>
      <c r="AA85" s="297">
        <f>U63*10/AA84</f>
        <v>0.26455026455026454</v>
      </c>
      <c r="AB85" s="297" t="s">
        <v>1088</v>
      </c>
      <c r="AJ85" s="297" t="s">
        <v>1087</v>
      </c>
      <c r="AT85" s="297">
        <v>800</v>
      </c>
      <c r="AU85" s="297">
        <v>1.3180000000000001</v>
      </c>
      <c r="AV85" s="297">
        <v>1.373</v>
      </c>
      <c r="AW85" s="297">
        <v>1.452</v>
      </c>
      <c r="AX85" s="297">
        <v>1.3859999999999999</v>
      </c>
      <c r="AY85" s="297">
        <v>1.6619999999999999</v>
      </c>
      <c r="AZ85" s="297">
        <v>2.1640000000000001</v>
      </c>
      <c r="BA85" s="297">
        <v>2.2400000000000002</v>
      </c>
      <c r="BB85" s="297">
        <v>1.3859999999999999</v>
      </c>
      <c r="BC85" s="297">
        <f t="shared" si="12"/>
        <v>1.0720000000000001</v>
      </c>
      <c r="BD85" s="297">
        <f t="shared" si="13"/>
        <v>1.2929104477611939</v>
      </c>
    </row>
    <row r="86" spans="1:56">
      <c r="A86" s="297">
        <v>8</v>
      </c>
      <c r="B86" s="297">
        <f t="shared" si="15"/>
        <v>5.0000000000000001E-3</v>
      </c>
      <c r="C86" s="297">
        <f t="shared" si="16"/>
        <v>58.554124780554659</v>
      </c>
      <c r="D86" s="297">
        <f t="shared" si="17"/>
        <v>90</v>
      </c>
      <c r="E86" s="297">
        <f t="shared" si="14"/>
        <v>232.20232852320686</v>
      </c>
      <c r="F86" s="297">
        <f t="shared" si="18"/>
        <v>32.753866055753896</v>
      </c>
      <c r="G86" s="297">
        <f t="shared" si="19"/>
        <v>7.0000000000000007E-2</v>
      </c>
      <c r="AT86" s="297">
        <v>900</v>
      </c>
      <c r="AU86" s="297">
        <v>1.323</v>
      </c>
      <c r="AV86" s="297">
        <v>1.385</v>
      </c>
      <c r="AW86" s="297">
        <v>1.4690000000000001</v>
      </c>
      <c r="AX86" s="297">
        <v>1.4</v>
      </c>
      <c r="AY86" s="297">
        <v>1.6910000000000001</v>
      </c>
      <c r="AZ86" s="297">
        <v>2.202</v>
      </c>
      <c r="BA86" s="297">
        <v>2.2730000000000001</v>
      </c>
      <c r="BB86" s="297">
        <v>1.3979999999999999</v>
      </c>
      <c r="BC86" s="297">
        <f t="shared" si="12"/>
        <v>1.0840000000000001</v>
      </c>
      <c r="BD86" s="297">
        <f t="shared" si="13"/>
        <v>1.2896678966789665</v>
      </c>
    </row>
    <row r="87" spans="1:56">
      <c r="A87" s="297">
        <v>9</v>
      </c>
      <c r="B87" s="297">
        <f t="shared" si="15"/>
        <v>5.0000000000000001E-3</v>
      </c>
      <c r="C87" s="297">
        <f t="shared" si="16"/>
        <v>47.496871041354332</v>
      </c>
      <c r="D87" s="297">
        <f t="shared" si="17"/>
        <v>90</v>
      </c>
      <c r="E87" s="297">
        <f t="shared" si="14"/>
        <v>139.7952794170327</v>
      </c>
      <c r="F87" s="297">
        <f t="shared" si="18"/>
        <v>31.964062217239587</v>
      </c>
      <c r="G87" s="297">
        <f t="shared" si="19"/>
        <v>7.0000000000000007E-2</v>
      </c>
      <c r="AA87" s="86" t="s">
        <v>1086</v>
      </c>
      <c r="AT87" s="297">
        <v>1000</v>
      </c>
      <c r="AU87" s="297">
        <v>1.327</v>
      </c>
      <c r="AV87" s="297">
        <v>1.3979999999999999</v>
      </c>
      <c r="AW87" s="297">
        <v>1.482</v>
      </c>
      <c r="AX87" s="297">
        <v>1.413</v>
      </c>
      <c r="AY87" s="297">
        <v>1.716</v>
      </c>
      <c r="AZ87" s="297">
        <v>2.2360000000000002</v>
      </c>
      <c r="BA87" s="297">
        <v>2.294</v>
      </c>
      <c r="BB87" s="297">
        <v>1.411</v>
      </c>
      <c r="BC87" s="297">
        <f t="shared" si="12"/>
        <v>1.093</v>
      </c>
      <c r="BD87" s="297">
        <f t="shared" si="13"/>
        <v>1.2909423604757548</v>
      </c>
    </row>
    <row r="88" spans="1:56" ht="15" customHeight="1">
      <c r="A88" s="297">
        <v>10</v>
      </c>
      <c r="B88" s="297">
        <f t="shared" si="15"/>
        <v>5.0000000000000001E-3</v>
      </c>
      <c r="C88" s="297">
        <f t="shared" si="16"/>
        <v>40.839952973876585</v>
      </c>
      <c r="D88" s="297">
        <f t="shared" si="17"/>
        <v>90</v>
      </c>
      <c r="E88" s="297">
        <f t="shared" si="14"/>
        <v>84.162464138825825</v>
      </c>
      <c r="F88" s="297">
        <f t="shared" si="18"/>
        <v>31.488568069562604</v>
      </c>
      <c r="G88" s="297">
        <f t="shared" si="19"/>
        <v>7.0000000000000007E-2</v>
      </c>
      <c r="AD88" s="297">
        <v>4.18</v>
      </c>
      <c r="AE88" s="297" t="s">
        <v>1085</v>
      </c>
      <c r="AT88" s="297">
        <v>1100</v>
      </c>
      <c r="AU88" s="297">
        <v>1.335</v>
      </c>
      <c r="AV88" s="297">
        <v>1.411</v>
      </c>
      <c r="AW88" s="297">
        <v>1.49</v>
      </c>
      <c r="AX88" s="297">
        <v>1.425</v>
      </c>
      <c r="AY88" s="297">
        <v>1.7410000000000001</v>
      </c>
      <c r="AZ88" s="297">
        <v>2.2650000000000001</v>
      </c>
      <c r="BA88" s="297">
        <v>2.319</v>
      </c>
      <c r="BB88" s="297">
        <v>1.4259999999999999</v>
      </c>
      <c r="BC88" s="297">
        <f t="shared" si="12"/>
        <v>1.101</v>
      </c>
      <c r="BD88" s="297">
        <f t="shared" si="13"/>
        <v>1.2951861943687557</v>
      </c>
    </row>
    <row r="89" spans="1:56" ht="15" customHeight="1">
      <c r="A89" s="297">
        <v>11</v>
      </c>
      <c r="B89" s="297">
        <f t="shared" si="15"/>
        <v>5.0000000000000001E-3</v>
      </c>
      <c r="C89" s="297">
        <f t="shared" si="16"/>
        <v>36.83221658631345</v>
      </c>
      <c r="D89" s="297">
        <f t="shared" si="17"/>
        <v>90</v>
      </c>
      <c r="E89" s="297">
        <f t="shared" si="14"/>
        <v>50.669238614191059</v>
      </c>
      <c r="F89" s="297">
        <f t="shared" si="18"/>
        <v>31.202301184736665</v>
      </c>
      <c r="AA89" s="297">
        <v>18</v>
      </c>
      <c r="AB89" s="297" t="s">
        <v>1084</v>
      </c>
      <c r="AD89" s="297">
        <v>2257</v>
      </c>
      <c r="AE89" s="297" t="s">
        <v>1083</v>
      </c>
      <c r="AF89" s="297">
        <f>AD89/4.18</f>
        <v>539.9521531100479</v>
      </c>
      <c r="AG89" s="297" t="s">
        <v>1082</v>
      </c>
      <c r="AK89" s="301" t="s">
        <v>1081</v>
      </c>
      <c r="AM89" s="297" t="s">
        <v>1081</v>
      </c>
      <c r="AT89" s="297">
        <v>1200</v>
      </c>
      <c r="AU89" s="297">
        <v>1.343</v>
      </c>
      <c r="AV89" s="297">
        <v>1.423</v>
      </c>
      <c r="AW89" s="297">
        <v>1.5029999999999999</v>
      </c>
      <c r="AX89" s="297">
        <v>1.4359999999999999</v>
      </c>
      <c r="AY89" s="297">
        <v>1.7669999999999999</v>
      </c>
      <c r="AZ89" s="297">
        <v>2.294</v>
      </c>
      <c r="BA89" s="297">
        <v>2.34</v>
      </c>
      <c r="BB89" s="297">
        <v>1.4359999999999999</v>
      </c>
      <c r="BC89" s="297">
        <f t="shared" si="12"/>
        <v>1.109</v>
      </c>
      <c r="BD89" s="297">
        <f t="shared" si="13"/>
        <v>1.2948602344454463</v>
      </c>
    </row>
    <row r="90" spans="1:56" ht="15" customHeight="1">
      <c r="AA90" s="297">
        <v>2.24E-2</v>
      </c>
      <c r="AB90" s="297" t="s">
        <v>1080</v>
      </c>
      <c r="AD90" s="297">
        <f>AA89*AD89</f>
        <v>40626</v>
      </c>
      <c r="AE90" s="297" t="s">
        <v>1077</v>
      </c>
      <c r="AK90" s="300"/>
      <c r="AL90" s="297" t="s">
        <v>1079</v>
      </c>
      <c r="AT90" s="297">
        <v>1300</v>
      </c>
      <c r="AU90" s="297">
        <v>1.3520000000000001</v>
      </c>
      <c r="AV90" s="297">
        <v>1.4319999999999999</v>
      </c>
      <c r="AW90" s="297">
        <v>1.5149999999999999</v>
      </c>
      <c r="AX90" s="297">
        <v>1.4470000000000001</v>
      </c>
      <c r="AY90" s="297">
        <v>1.792</v>
      </c>
      <c r="AZ90" s="297">
        <v>2.3149999999999999</v>
      </c>
      <c r="BA90" s="297">
        <v>2.3570000000000002</v>
      </c>
      <c r="BB90" s="297">
        <v>1.444</v>
      </c>
      <c r="BC90" s="297">
        <f t="shared" si="12"/>
        <v>1.1180000000000001</v>
      </c>
      <c r="BD90" s="297">
        <f t="shared" si="13"/>
        <v>1.2915921288014309</v>
      </c>
    </row>
    <row r="91" spans="1:56" ht="15" customHeight="1">
      <c r="A91" s="297" t="s">
        <v>910</v>
      </c>
      <c r="C91" s="297">
        <f>(C79-C89)*B79*4200</f>
        <v>20226.523451687415</v>
      </c>
      <c r="E91" s="297">
        <f>SUM(E79:E88)</f>
        <v>20226.523451687419</v>
      </c>
      <c r="F91" s="297">
        <f>(F79-F89)*G79*4200</f>
        <v>20226.523451687422</v>
      </c>
      <c r="AA91" s="297">
        <v>100</v>
      </c>
      <c r="AB91" s="297" t="s">
        <v>1</v>
      </c>
      <c r="AK91" s="300"/>
      <c r="AL91" s="297" t="s">
        <v>1078</v>
      </c>
      <c r="AT91" s="297">
        <v>1400</v>
      </c>
      <c r="AU91" s="297">
        <v>1.36</v>
      </c>
      <c r="AV91" s="297">
        <v>1.444</v>
      </c>
      <c r="AW91" s="297">
        <v>1.5229999999999999</v>
      </c>
      <c r="AX91" s="297">
        <v>1.4570000000000001</v>
      </c>
      <c r="AY91" s="297">
        <v>1.8169999999999999</v>
      </c>
      <c r="AZ91" s="297">
        <v>2.34</v>
      </c>
      <c r="BA91" s="297">
        <v>2.3740000000000001</v>
      </c>
      <c r="BB91" s="297">
        <v>1.4530000000000001</v>
      </c>
      <c r="BC91" s="297">
        <f t="shared" si="12"/>
        <v>1.1259999999999999</v>
      </c>
      <c r="BD91" s="297">
        <f t="shared" si="13"/>
        <v>1.2904085257548847</v>
      </c>
    </row>
    <row r="92" spans="1:56">
      <c r="F92" s="297">
        <f>C89-F89</f>
        <v>5.6299154015767847</v>
      </c>
      <c r="G92" s="297" t="s">
        <v>1068</v>
      </c>
      <c r="AA92" s="297">
        <f>AA91*AA90*1000</f>
        <v>2239.9999999999995</v>
      </c>
      <c r="AB92" s="297" t="s">
        <v>1077</v>
      </c>
      <c r="AD92" s="297">
        <f>AA92/AD90</f>
        <v>5.5137104317432177E-2</v>
      </c>
      <c r="AT92" s="297">
        <v>1500</v>
      </c>
      <c r="AU92" s="297">
        <v>1.3640000000000001</v>
      </c>
      <c r="AV92" s="297">
        <v>1.4530000000000001</v>
      </c>
      <c r="AW92" s="297">
        <v>1.532</v>
      </c>
      <c r="AX92" s="297">
        <v>1.466</v>
      </c>
      <c r="AY92" s="297">
        <v>1.8380000000000001</v>
      </c>
      <c r="AZ92" s="297">
        <v>2.3610000000000002</v>
      </c>
      <c r="BA92" s="297">
        <v>2.3860000000000001</v>
      </c>
      <c r="BB92" s="297">
        <v>1.4650000000000001</v>
      </c>
      <c r="BC92" s="297">
        <f t="shared" si="12"/>
        <v>1.135</v>
      </c>
      <c r="BD92" s="297">
        <f t="shared" si="13"/>
        <v>1.2907488986784141</v>
      </c>
    </row>
    <row r="93" spans="1:56">
      <c r="AA93" s="297" t="s">
        <v>1076</v>
      </c>
      <c r="AT93" s="297">
        <v>1600</v>
      </c>
      <c r="AU93" s="297">
        <v>1.373</v>
      </c>
      <c r="AV93" s="297">
        <v>1.4610000000000001</v>
      </c>
      <c r="AW93" s="297">
        <v>1.54</v>
      </c>
      <c r="AX93" s="297">
        <v>1.4750000000000001</v>
      </c>
      <c r="AY93" s="297">
        <v>1.863</v>
      </c>
      <c r="AZ93" s="297">
        <v>2.3820000000000001</v>
      </c>
      <c r="BA93" s="297">
        <v>2.399</v>
      </c>
      <c r="BB93" s="297">
        <v>1.474</v>
      </c>
      <c r="BC93" s="297">
        <f t="shared" si="12"/>
        <v>1.139</v>
      </c>
      <c r="BD93" s="297">
        <f t="shared" si="13"/>
        <v>1.2941176470588236</v>
      </c>
    </row>
    <row r="94" spans="1:56">
      <c r="AA94" s="297" t="s">
        <v>1075</v>
      </c>
      <c r="AT94" s="297">
        <v>1700</v>
      </c>
      <c r="AU94" s="297">
        <v>1.381</v>
      </c>
      <c r="AV94" s="297">
        <v>1.4690000000000001</v>
      </c>
      <c r="AW94" s="297">
        <v>1.5489999999999999</v>
      </c>
      <c r="AX94" s="297">
        <v>1.4830000000000001</v>
      </c>
      <c r="AY94" s="297">
        <v>1.8839999999999999</v>
      </c>
      <c r="AZ94" s="297">
        <v>2.399</v>
      </c>
      <c r="BA94" s="297">
        <v>2.4119999999999999</v>
      </c>
      <c r="BB94" s="297">
        <v>1.482</v>
      </c>
      <c r="BC94" s="297">
        <f t="shared" si="12"/>
        <v>1.143</v>
      </c>
      <c r="BD94" s="297">
        <f t="shared" si="13"/>
        <v>1.2965879265091864</v>
      </c>
    </row>
    <row r="95" spans="1:56">
      <c r="A95" s="297" t="s">
        <v>1074</v>
      </c>
      <c r="AT95" s="297">
        <v>1800</v>
      </c>
      <c r="AU95" s="297">
        <v>1.39</v>
      </c>
      <c r="AV95" s="297">
        <v>1.478</v>
      </c>
      <c r="AW95" s="297">
        <v>1.5569999999999999</v>
      </c>
      <c r="AX95" s="297">
        <v>1.49</v>
      </c>
      <c r="AY95" s="297">
        <v>1.905</v>
      </c>
      <c r="AZ95" s="297">
        <v>2.4159999999999999</v>
      </c>
      <c r="BA95" s="297">
        <v>2.4239999999999999</v>
      </c>
      <c r="BB95" s="297">
        <v>1.486</v>
      </c>
      <c r="BC95" s="297">
        <f t="shared" si="12"/>
        <v>1.151</v>
      </c>
      <c r="BD95" s="297">
        <f t="shared" si="13"/>
        <v>1.2910512597741095</v>
      </c>
    </row>
    <row r="96" spans="1:56">
      <c r="B96" s="297" t="s">
        <v>902</v>
      </c>
      <c r="D96" s="297" t="s">
        <v>903</v>
      </c>
      <c r="G96" s="297" t="s">
        <v>904</v>
      </c>
      <c r="AA96" s="297">
        <f>AA90/AA89*1000000</f>
        <v>1244.4444444444446</v>
      </c>
      <c r="AB96" s="297" t="s">
        <v>1073</v>
      </c>
      <c r="AT96" s="297">
        <v>1900</v>
      </c>
      <c r="AU96" s="297">
        <v>1.3839999999999999</v>
      </c>
      <c r="AV96" s="297">
        <v>1.482</v>
      </c>
      <c r="AW96" s="297">
        <v>1.5660000000000001</v>
      </c>
      <c r="AX96" s="297">
        <v>1.4970000000000001</v>
      </c>
      <c r="AY96" s="297">
        <v>1.9259999999999999</v>
      </c>
      <c r="AZ96" s="297">
        <v>2.4279999999999999</v>
      </c>
      <c r="BA96" s="297">
        <v>2.4329999999999998</v>
      </c>
      <c r="BB96" s="297">
        <v>1.4950000000000001</v>
      </c>
      <c r="BC96" s="297">
        <f t="shared" si="12"/>
        <v>1.157</v>
      </c>
      <c r="BD96" s="297">
        <f t="shared" si="13"/>
        <v>1.2921348314606742</v>
      </c>
    </row>
    <row r="97" spans="1:56">
      <c r="B97" s="297">
        <f>3600*B99</f>
        <v>18</v>
      </c>
      <c r="E97" s="297" t="s">
        <v>905</v>
      </c>
      <c r="G97" s="297">
        <f>3600*G99</f>
        <v>1962.0000000000002</v>
      </c>
      <c r="AT97" s="297">
        <v>2000</v>
      </c>
      <c r="AU97" s="297">
        <v>1.4059999999999999</v>
      </c>
      <c r="AV97" s="297">
        <v>1.49</v>
      </c>
      <c r="AW97" s="297">
        <v>1.5740000000000001</v>
      </c>
      <c r="AX97" s="297">
        <v>1.504</v>
      </c>
      <c r="AY97" s="297">
        <v>1.9470000000000001</v>
      </c>
      <c r="AZ97" s="297">
        <v>2.4449999999999998</v>
      </c>
      <c r="BA97" s="297">
        <v>2.4409999999999998</v>
      </c>
      <c r="BB97" s="297">
        <v>1.4990000000000001</v>
      </c>
      <c r="BC97" s="297">
        <f t="shared" si="12"/>
        <v>1.1599999999999999</v>
      </c>
      <c r="BD97" s="297">
        <f t="shared" si="13"/>
        <v>1.2922413793103451</v>
      </c>
    </row>
    <row r="98" spans="1:56">
      <c r="B98" s="297" t="s">
        <v>17</v>
      </c>
      <c r="C98" s="297" t="s">
        <v>907</v>
      </c>
      <c r="F98" s="297" t="s">
        <v>908</v>
      </c>
      <c r="G98" s="297" t="s">
        <v>22</v>
      </c>
      <c r="AA98" s="86" t="s">
        <v>1072</v>
      </c>
      <c r="AT98" s="297">
        <v>2100</v>
      </c>
      <c r="AU98" s="297">
        <v>1.41</v>
      </c>
      <c r="AV98" s="297">
        <v>1.498</v>
      </c>
      <c r="AW98" s="297">
        <v>1.5780000000000001</v>
      </c>
      <c r="AX98" s="297">
        <v>1.51</v>
      </c>
      <c r="AY98" s="297">
        <v>1.968</v>
      </c>
      <c r="AZ98" s="297">
        <v>2.4569999999999999</v>
      </c>
      <c r="BA98" s="297">
        <v>2.4489999999999998</v>
      </c>
      <c r="BB98" s="297">
        <v>1.5069999999999999</v>
      </c>
      <c r="BC98" s="297">
        <f t="shared" si="12"/>
        <v>1.1639999999999999</v>
      </c>
      <c r="BD98" s="297">
        <f t="shared" si="13"/>
        <v>1.2946735395189004</v>
      </c>
    </row>
    <row r="99" spans="1:56">
      <c r="A99" s="297">
        <v>1</v>
      </c>
      <c r="B99" s="154">
        <v>5.0000000000000001E-3</v>
      </c>
      <c r="C99" s="154">
        <v>1000</v>
      </c>
      <c r="D99" s="154">
        <v>90</v>
      </c>
      <c r="E99" s="264">
        <f t="shared" ref="E99:E109" si="20">(C99-F99)*D99/10</f>
        <v>8640</v>
      </c>
      <c r="F99" s="154">
        <v>40</v>
      </c>
      <c r="G99" s="154">
        <v>0.54500000000000004</v>
      </c>
      <c r="AT99" s="297">
        <v>2200</v>
      </c>
      <c r="AU99" s="297">
        <v>1.423</v>
      </c>
      <c r="AV99" s="297">
        <v>1.5029999999999999</v>
      </c>
      <c r="AW99" s="297">
        <v>1.5860000000000001</v>
      </c>
      <c r="AX99" s="297">
        <v>1.516</v>
      </c>
      <c r="AY99" s="297">
        <v>1.984</v>
      </c>
      <c r="AZ99" s="297">
        <v>2.4700000000000002</v>
      </c>
      <c r="BA99" s="297">
        <v>2.4569999999999999</v>
      </c>
      <c r="BB99" s="297">
        <v>1.5109999999999999</v>
      </c>
      <c r="BC99" s="297">
        <f t="shared" si="12"/>
        <v>1.1679999999999999</v>
      </c>
      <c r="BD99" s="297">
        <f t="shared" si="13"/>
        <v>1.2936643835616439</v>
      </c>
    </row>
    <row r="100" spans="1:56">
      <c r="A100" s="297">
        <v>2</v>
      </c>
      <c r="B100" s="297">
        <f t="shared" ref="B100:B109" si="21">B99</f>
        <v>5.0000000000000001E-3</v>
      </c>
      <c r="C100" s="297">
        <f t="shared" ref="C100:C109" si="22">C99-E99/B99/4200</f>
        <v>588.57142857142856</v>
      </c>
      <c r="D100" s="297">
        <f t="shared" ref="D100:D109" si="23">D99</f>
        <v>90</v>
      </c>
      <c r="E100" s="297">
        <f t="shared" si="20"/>
        <v>4971.114023591088</v>
      </c>
      <c r="F100" s="297">
        <f t="shared" ref="F100:F109" si="24">F99-E99/G99/4200</f>
        <v>36.225425950196595</v>
      </c>
      <c r="G100" s="297">
        <f t="shared" ref="G100:G108" si="25">G99</f>
        <v>0.54500000000000004</v>
      </c>
      <c r="AT100" s="297">
        <v>2300</v>
      </c>
      <c r="AU100" s="297">
        <v>1.431</v>
      </c>
      <c r="AV100" s="297">
        <v>1.5109999999999999</v>
      </c>
      <c r="AW100" s="297">
        <v>1.595</v>
      </c>
      <c r="AX100" s="297">
        <v>1.5209999999999999</v>
      </c>
      <c r="AY100" s="297">
        <v>2.0009999999999999</v>
      </c>
      <c r="AZ100" s="297">
        <v>2.4820000000000002</v>
      </c>
      <c r="BA100" s="297">
        <v>2.4660000000000002</v>
      </c>
      <c r="BB100" s="297">
        <v>1.516</v>
      </c>
      <c r="BC100" s="297">
        <f t="shared" si="12"/>
        <v>1.1719999999999999</v>
      </c>
      <c r="BD100" s="297">
        <f t="shared" si="13"/>
        <v>1.2935153583617749</v>
      </c>
    </row>
    <row r="101" spans="1:56">
      <c r="A101" s="297">
        <v>3</v>
      </c>
      <c r="B101" s="297">
        <f t="shared" si="21"/>
        <v>5.0000000000000001E-3</v>
      </c>
      <c r="C101" s="297">
        <f t="shared" si="22"/>
        <v>351.85171316232913</v>
      </c>
      <c r="D101" s="297">
        <f t="shared" si="23"/>
        <v>90</v>
      </c>
      <c r="E101" s="297">
        <f t="shared" si="20"/>
        <v>2860.1822494842559</v>
      </c>
      <c r="F101" s="297">
        <f t="shared" si="24"/>
        <v>34.053685441856231</v>
      </c>
      <c r="G101" s="297">
        <f t="shared" si="25"/>
        <v>0.54500000000000004</v>
      </c>
      <c r="AA101" s="86" t="s">
        <v>1071</v>
      </c>
      <c r="AT101" s="297">
        <v>2400</v>
      </c>
      <c r="AU101" s="297">
        <v>1.4359999999999999</v>
      </c>
      <c r="AV101" s="297">
        <v>1.5149999999999999</v>
      </c>
      <c r="AW101" s="297">
        <v>1.599</v>
      </c>
      <c r="AX101" s="297">
        <v>1.5269999999999999</v>
      </c>
      <c r="AY101" s="297">
        <v>2.0179999999999998</v>
      </c>
      <c r="AZ101" s="297">
        <v>2.4910000000000001</v>
      </c>
      <c r="BA101" s="297">
        <v>2.4740000000000002</v>
      </c>
      <c r="BB101" s="297">
        <v>1.52</v>
      </c>
      <c r="BC101" s="297">
        <f t="shared" si="12"/>
        <v>1.1759999999999999</v>
      </c>
      <c r="BD101" s="297">
        <f t="shared" si="13"/>
        <v>1.2925170068027212</v>
      </c>
    </row>
    <row r="102" spans="1:56">
      <c r="A102" s="297">
        <v>4</v>
      </c>
      <c r="B102" s="297">
        <f t="shared" si="21"/>
        <v>5.0000000000000001E-3</v>
      </c>
      <c r="C102" s="297">
        <f t="shared" si="22"/>
        <v>215.6525584249836</v>
      </c>
      <c r="D102" s="297">
        <f t="shared" si="23"/>
        <v>90</v>
      </c>
      <c r="E102" s="297">
        <f t="shared" si="20"/>
        <v>1645.63565861545</v>
      </c>
      <c r="F102" s="297">
        <f t="shared" si="24"/>
        <v>32.804151912155817</v>
      </c>
      <c r="G102" s="297">
        <f t="shared" si="25"/>
        <v>0.54500000000000004</v>
      </c>
      <c r="AT102" s="297">
        <v>2500</v>
      </c>
      <c r="AU102" s="297">
        <v>1.444</v>
      </c>
      <c r="AV102" s="297">
        <v>1.5189999999999999</v>
      </c>
      <c r="AW102" s="297">
        <v>1.607</v>
      </c>
      <c r="AX102" s="297">
        <v>1.532</v>
      </c>
      <c r="AY102" s="297">
        <v>2.0299999999999998</v>
      </c>
      <c r="AZ102" s="297">
        <v>2.4990000000000001</v>
      </c>
      <c r="BA102" s="297">
        <v>2.4780000000000002</v>
      </c>
      <c r="BB102" s="297">
        <v>1.528</v>
      </c>
      <c r="BC102" s="297">
        <f t="shared" si="12"/>
        <v>1.181</v>
      </c>
      <c r="BD102" s="297">
        <f t="shared" si="13"/>
        <v>1.2938187976291278</v>
      </c>
    </row>
    <row r="103" spans="1:56">
      <c r="A103" s="297">
        <v>5</v>
      </c>
      <c r="B103" s="297">
        <f t="shared" si="21"/>
        <v>5.0000000000000001E-3</v>
      </c>
      <c r="C103" s="297">
        <f t="shared" si="22"/>
        <v>137.28895563377171</v>
      </c>
      <c r="D103" s="297">
        <f t="shared" si="23"/>
        <v>90</v>
      </c>
      <c r="E103" s="297">
        <f t="shared" si="20"/>
        <v>946.83362271583576</v>
      </c>
      <c r="F103" s="297">
        <f t="shared" si="24"/>
        <v>32.085219776456626</v>
      </c>
      <c r="G103" s="297">
        <f t="shared" si="25"/>
        <v>0.54500000000000004</v>
      </c>
      <c r="AT103" s="297">
        <v>2600</v>
      </c>
      <c r="AU103" s="297">
        <v>1.452</v>
      </c>
      <c r="AV103" s="297">
        <v>1.528</v>
      </c>
      <c r="AW103" s="297">
        <v>1.611</v>
      </c>
      <c r="AX103" s="297">
        <v>1.54</v>
      </c>
      <c r="AY103" s="297">
        <v>2.0470000000000002</v>
      </c>
      <c r="AZ103" s="297">
        <v>2.508</v>
      </c>
      <c r="BA103" s="297">
        <v>2.4830000000000001</v>
      </c>
      <c r="BB103" s="297">
        <v>1.532</v>
      </c>
      <c r="BC103" s="297">
        <f t="shared" si="12"/>
        <v>1.1850000000000001</v>
      </c>
      <c r="BD103" s="297">
        <f t="shared" si="13"/>
        <v>1.2928270042194092</v>
      </c>
    </row>
    <row r="104" spans="1:56">
      <c r="A104" s="297">
        <v>6</v>
      </c>
      <c r="B104" s="297">
        <f t="shared" si="21"/>
        <v>5.0000000000000001E-3</v>
      </c>
      <c r="C104" s="297">
        <f t="shared" si="22"/>
        <v>92.20164026635095</v>
      </c>
      <c r="D104" s="297">
        <f t="shared" si="23"/>
        <v>90</v>
      </c>
      <c r="E104" s="297">
        <f t="shared" si="20"/>
        <v>544.77059026507447</v>
      </c>
      <c r="F104" s="297">
        <f t="shared" si="24"/>
        <v>31.671574681342673</v>
      </c>
      <c r="G104" s="297">
        <f t="shared" si="25"/>
        <v>0.54500000000000004</v>
      </c>
      <c r="AT104" s="297">
        <v>2700</v>
      </c>
      <c r="AU104" s="297">
        <v>1.4570000000000001</v>
      </c>
      <c r="AV104" s="297">
        <v>1.532</v>
      </c>
      <c r="AW104" s="297">
        <v>1.617</v>
      </c>
      <c r="AX104" s="297">
        <v>1.5449999999999999</v>
      </c>
      <c r="AY104" s="297">
        <v>2.06</v>
      </c>
      <c r="AZ104" s="297">
        <v>2.52</v>
      </c>
      <c r="BA104" s="297">
        <v>2.4910000000000001</v>
      </c>
      <c r="BB104" s="297">
        <v>1.5369999999999999</v>
      </c>
      <c r="BC104" s="297">
        <f t="shared" si="12"/>
        <v>1.1890000000000001</v>
      </c>
      <c r="BD104" s="297">
        <f t="shared" si="13"/>
        <v>1.2926829268292681</v>
      </c>
    </row>
    <row r="105" spans="1:56">
      <c r="A105" s="297">
        <v>7</v>
      </c>
      <c r="B105" s="297">
        <f t="shared" si="21"/>
        <v>5.0000000000000001E-3</v>
      </c>
      <c r="C105" s="297">
        <f t="shared" si="22"/>
        <v>66.26018358706169</v>
      </c>
      <c r="D105" s="297">
        <f t="shared" si="23"/>
        <v>90</v>
      </c>
      <c r="E105" s="297">
        <f t="shared" si="20"/>
        <v>313.43943529012802</v>
      </c>
      <c r="F105" s="297">
        <f t="shared" si="24"/>
        <v>31.43357966593635</v>
      </c>
      <c r="G105" s="297">
        <f t="shared" si="25"/>
        <v>0.54500000000000004</v>
      </c>
      <c r="AT105" s="297">
        <v>2800</v>
      </c>
      <c r="AU105" s="297">
        <v>1.4650000000000001</v>
      </c>
      <c r="AV105" s="297">
        <v>1.536</v>
      </c>
      <c r="AW105" s="297">
        <v>1.6240000000000001</v>
      </c>
      <c r="AX105" s="297">
        <v>1.5489999999999999</v>
      </c>
      <c r="AY105" s="297">
        <v>2.0760000000000001</v>
      </c>
      <c r="AZ105" s="297">
        <v>2.5249999999999999</v>
      </c>
      <c r="BA105" s="297">
        <v>2.4950000000000001</v>
      </c>
      <c r="BB105" s="297">
        <v>1.5409999999999999</v>
      </c>
      <c r="BC105" s="297">
        <f t="shared" si="12"/>
        <v>1.1930000000000001</v>
      </c>
      <c r="BD105" s="297">
        <f t="shared" si="13"/>
        <v>1.2917015926236377</v>
      </c>
    </row>
    <row r="106" spans="1:56">
      <c r="A106" s="297">
        <v>8</v>
      </c>
      <c r="B106" s="297">
        <f t="shared" si="21"/>
        <v>5.0000000000000001E-3</v>
      </c>
      <c r="C106" s="297">
        <f t="shared" si="22"/>
        <v>51.334496192293685</v>
      </c>
      <c r="D106" s="297">
        <f t="shared" si="23"/>
        <v>90</v>
      </c>
      <c r="E106" s="297">
        <f t="shared" si="20"/>
        <v>180.34064494412348</v>
      </c>
      <c r="F106" s="297">
        <f t="shared" si="24"/>
        <v>31.296646754057743</v>
      </c>
      <c r="G106" s="297">
        <f t="shared" si="25"/>
        <v>0.54500000000000004</v>
      </c>
      <c r="AT106" s="297">
        <v>2900</v>
      </c>
      <c r="AU106" s="297">
        <v>1.4730000000000001</v>
      </c>
      <c r="AV106" s="297">
        <v>1.54</v>
      </c>
      <c r="AW106" s="297">
        <v>1.629</v>
      </c>
      <c r="AX106" s="297">
        <v>1.5529999999999999</v>
      </c>
      <c r="AY106" s="297">
        <v>2.089</v>
      </c>
      <c r="AZ106" s="297">
        <v>2.5369999999999999</v>
      </c>
      <c r="BA106" s="297">
        <v>2.4990000000000001</v>
      </c>
      <c r="BB106" s="297">
        <v>1.5449999999999999</v>
      </c>
      <c r="BC106" s="297">
        <f t="shared" si="12"/>
        <v>1.196</v>
      </c>
      <c r="BD106" s="297">
        <f t="shared" si="13"/>
        <v>1.2918060200668897</v>
      </c>
    </row>
    <row r="107" spans="1:56">
      <c r="A107" s="297">
        <v>9</v>
      </c>
      <c r="B107" s="297">
        <f t="shared" si="21"/>
        <v>5.0000000000000001E-3</v>
      </c>
      <c r="C107" s="297">
        <f t="shared" si="22"/>
        <v>42.746846433049711</v>
      </c>
      <c r="D107" s="297">
        <f t="shared" si="23"/>
        <v>90</v>
      </c>
      <c r="E107" s="297">
        <f t="shared" si="20"/>
        <v>103.76086910939739</v>
      </c>
      <c r="F107" s="297">
        <f t="shared" si="24"/>
        <v>31.217860976450002</v>
      </c>
      <c r="G107" s="297">
        <f t="shared" si="25"/>
        <v>0.54500000000000004</v>
      </c>
      <c r="AT107" s="297">
        <v>3000</v>
      </c>
      <c r="AU107" s="297">
        <v>1.4770000000000001</v>
      </c>
      <c r="AV107" s="297">
        <v>1.5449999999999999</v>
      </c>
      <c r="AW107" s="297">
        <v>1.637</v>
      </c>
      <c r="AX107" s="297">
        <v>1.5569999999999999</v>
      </c>
      <c r="AY107" s="297">
        <v>2.097</v>
      </c>
      <c r="AZ107" s="297">
        <v>2.5409999999999999</v>
      </c>
      <c r="BA107" s="297">
        <v>2.504</v>
      </c>
      <c r="BB107" s="297">
        <v>1.5489999999999999</v>
      </c>
      <c r="BC107" s="297">
        <f t="shared" si="12"/>
        <v>1.1970000000000001</v>
      </c>
      <c r="BD107" s="297">
        <f t="shared" si="13"/>
        <v>1.2940685045948204</v>
      </c>
    </row>
    <row r="108" spans="1:56">
      <c r="A108" s="297">
        <v>10</v>
      </c>
      <c r="B108" s="297">
        <f t="shared" si="21"/>
        <v>5.0000000000000001E-3</v>
      </c>
      <c r="C108" s="297">
        <f t="shared" si="22"/>
        <v>37.805852665935546</v>
      </c>
      <c r="D108" s="297">
        <f t="shared" si="23"/>
        <v>90</v>
      </c>
      <c r="E108" s="297">
        <f t="shared" si="20"/>
        <v>59.699897167792166</v>
      </c>
      <c r="F108" s="297">
        <f t="shared" si="24"/>
        <v>31.172530758403084</v>
      </c>
      <c r="G108" s="297">
        <f t="shared" si="25"/>
        <v>0.54500000000000004</v>
      </c>
    </row>
    <row r="109" spans="1:56">
      <c r="A109" s="297">
        <v>11</v>
      </c>
      <c r="B109" s="297">
        <f t="shared" si="21"/>
        <v>5.0000000000000001E-3</v>
      </c>
      <c r="C109" s="297">
        <f t="shared" si="22"/>
        <v>34.963000419850204</v>
      </c>
      <c r="D109" s="297">
        <f t="shared" si="23"/>
        <v>90</v>
      </c>
      <c r="E109" s="297">
        <f t="shared" si="20"/>
        <v>34.348957872425622</v>
      </c>
      <c r="F109" s="297">
        <f t="shared" si="24"/>
        <v>31.146449545136246</v>
      </c>
    </row>
    <row r="110" spans="1:56">
      <c r="AT110" s="297" t="s">
        <v>1070</v>
      </c>
    </row>
    <row r="111" spans="1:56">
      <c r="A111" s="297" t="s">
        <v>910</v>
      </c>
      <c r="C111" s="297">
        <f>(C99-C109)*B99*4200</f>
        <v>20265.776991183146</v>
      </c>
      <c r="E111" s="297">
        <f>SUM(E99:E108)</f>
        <v>20265.776991183146</v>
      </c>
      <c r="F111" s="297">
        <f>(F99-F109)*G99*4200</f>
        <v>20265.776991183135</v>
      </c>
      <c r="AT111" s="297" t="s">
        <v>1069</v>
      </c>
    </row>
    <row r="112" spans="1:56">
      <c r="F112" s="297">
        <f>C109-F109</f>
        <v>3.8165508747139576</v>
      </c>
      <c r="G112" s="297" t="s">
        <v>1068</v>
      </c>
    </row>
    <row r="114" spans="1:54">
      <c r="A114" s="297" t="s">
        <v>1067</v>
      </c>
      <c r="AT114" s="297" t="s">
        <v>1066</v>
      </c>
      <c r="AU114" s="297" t="s">
        <v>1065</v>
      </c>
      <c r="AV114" s="297" t="s">
        <v>1064</v>
      </c>
      <c r="AW114" s="297" t="s">
        <v>1063</v>
      </c>
      <c r="AX114" s="297" t="s">
        <v>1062</v>
      </c>
      <c r="AY114" s="297" t="s">
        <v>1061</v>
      </c>
      <c r="AZ114" s="297" t="s">
        <v>1060</v>
      </c>
      <c r="BA114" s="297" t="s">
        <v>1059</v>
      </c>
      <c r="BB114" s="297" t="s">
        <v>472</v>
      </c>
    </row>
    <row r="115" spans="1:54">
      <c r="A115" s="297" t="s">
        <v>1058</v>
      </c>
      <c r="AT115" s="297">
        <v>0</v>
      </c>
      <c r="AU115" s="297">
        <v>14.247999999999999</v>
      </c>
      <c r="AV115" s="297">
        <v>1.0389999999999999</v>
      </c>
      <c r="AW115" s="297">
        <v>0.91500000000000004</v>
      </c>
      <c r="AX115" s="297">
        <v>1.04</v>
      </c>
      <c r="AY115" s="297">
        <v>1.859</v>
      </c>
      <c r="AZ115" s="297">
        <v>0.81499999999999995</v>
      </c>
      <c r="BA115" s="297">
        <v>0.60699999999999998</v>
      </c>
      <c r="BB115" s="297">
        <v>1.0049999999999999</v>
      </c>
    </row>
    <row r="116" spans="1:54">
      <c r="A116" s="297" t="s">
        <v>1057</v>
      </c>
      <c r="AT116" s="297">
        <v>100</v>
      </c>
      <c r="AU116" s="297">
        <v>14.353</v>
      </c>
      <c r="AV116" s="297">
        <v>1.04</v>
      </c>
      <c r="AW116" s="297">
        <v>0.92300000000000004</v>
      </c>
      <c r="AX116" s="297">
        <v>1.042</v>
      </c>
      <c r="AY116" s="297">
        <v>1.893</v>
      </c>
      <c r="AZ116" s="297">
        <v>0.86599999999999999</v>
      </c>
      <c r="BA116" s="297">
        <v>0.63600000000000001</v>
      </c>
      <c r="BB116" s="297">
        <v>1.0049999999999999</v>
      </c>
    </row>
    <row r="117" spans="1:54">
      <c r="A117" s="297" t="s">
        <v>1056</v>
      </c>
      <c r="AT117" s="297">
        <v>200</v>
      </c>
      <c r="AU117" s="297">
        <v>14.420999999999999</v>
      </c>
      <c r="AV117" s="297">
        <v>1.0429999999999999</v>
      </c>
      <c r="AW117" s="297">
        <v>0.93500000000000005</v>
      </c>
      <c r="AX117" s="297">
        <v>1.046</v>
      </c>
      <c r="AY117" s="297">
        <v>1.8939999999999999</v>
      </c>
      <c r="AZ117" s="297">
        <v>0.91</v>
      </c>
      <c r="BA117" s="297">
        <v>0.66200000000000003</v>
      </c>
      <c r="BB117" s="297">
        <v>1.0129999999999999</v>
      </c>
    </row>
    <row r="118" spans="1:54">
      <c r="A118" s="297" t="s">
        <v>1055</v>
      </c>
      <c r="AT118" s="297">
        <v>300</v>
      </c>
      <c r="AU118" s="297">
        <v>14.446</v>
      </c>
      <c r="AV118" s="297">
        <v>1.0489999999999999</v>
      </c>
      <c r="AW118" s="297">
        <v>0.95</v>
      </c>
      <c r="AX118" s="297">
        <v>1.054</v>
      </c>
      <c r="AY118" s="297">
        <v>1.919</v>
      </c>
      <c r="AZ118" s="297">
        <v>0.94899999999999995</v>
      </c>
      <c r="BA118" s="297">
        <v>0.68700000000000006</v>
      </c>
      <c r="BB118" s="297">
        <v>1.022</v>
      </c>
    </row>
    <row r="119" spans="1:54">
      <c r="A119" s="297" t="s">
        <v>1054</v>
      </c>
      <c r="AT119" s="297">
        <v>400</v>
      </c>
      <c r="AU119" s="297">
        <v>14.477</v>
      </c>
      <c r="AV119" s="297">
        <v>1.0569999999999999</v>
      </c>
      <c r="AW119" s="297">
        <v>0.96499999999999997</v>
      </c>
      <c r="AX119" s="297">
        <v>1.0629999999999999</v>
      </c>
      <c r="AY119" s="297">
        <v>1.948</v>
      </c>
      <c r="AZ119" s="297">
        <v>0.98299999999999998</v>
      </c>
      <c r="BA119" s="297">
        <v>0.70799999999999996</v>
      </c>
      <c r="BB119" s="297">
        <v>1.03</v>
      </c>
    </row>
    <row r="120" spans="1:54">
      <c r="A120" s="297" t="s">
        <v>1053</v>
      </c>
      <c r="AT120" s="297">
        <v>500</v>
      </c>
      <c r="AU120" s="297">
        <v>14.509</v>
      </c>
      <c r="AV120" s="297">
        <v>1.0660000000000001</v>
      </c>
      <c r="AW120" s="297">
        <v>0.97899999999999998</v>
      </c>
      <c r="AX120" s="297">
        <v>1.075</v>
      </c>
      <c r="AY120" s="297">
        <v>1.978</v>
      </c>
      <c r="AZ120" s="297">
        <v>1.0129999999999999</v>
      </c>
      <c r="BA120" s="297">
        <v>0.72399999999999998</v>
      </c>
      <c r="BB120" s="297">
        <v>1.042</v>
      </c>
    </row>
    <row r="121" spans="1:54">
      <c r="AT121" s="297">
        <v>600</v>
      </c>
      <c r="AU121" s="297">
        <v>14.542</v>
      </c>
      <c r="AV121" s="297">
        <v>1.0760000000000001</v>
      </c>
      <c r="AW121" s="297">
        <v>0.99299999999999999</v>
      </c>
      <c r="AX121" s="297">
        <v>1.0860000000000001</v>
      </c>
      <c r="AY121" s="297">
        <v>2.0089999999999999</v>
      </c>
      <c r="AZ121" s="297">
        <v>1.04</v>
      </c>
      <c r="BA121" s="297">
        <v>0.73699999999999999</v>
      </c>
      <c r="BB121" s="297">
        <v>1.0509999999999999</v>
      </c>
    </row>
    <row r="122" spans="1:54">
      <c r="A122" s="297" t="s">
        <v>1052</v>
      </c>
      <c r="AT122" s="297">
        <v>700</v>
      </c>
      <c r="AU122" s="297">
        <v>14.587</v>
      </c>
      <c r="AV122" s="297">
        <v>1.087</v>
      </c>
      <c r="AW122" s="297">
        <v>1.0049999999999999</v>
      </c>
      <c r="AX122" s="297">
        <v>1.0980000000000001</v>
      </c>
      <c r="AY122" s="297">
        <v>2.0419999999999998</v>
      </c>
      <c r="AZ122" s="297">
        <v>1.0640000000000001</v>
      </c>
      <c r="BA122" s="297">
        <v>0.754</v>
      </c>
      <c r="BB122" s="297">
        <v>1.0589999999999999</v>
      </c>
    </row>
    <row r="123" spans="1:54">
      <c r="A123" s="297" t="s">
        <v>1051</v>
      </c>
      <c r="AT123" s="297">
        <v>800</v>
      </c>
      <c r="AU123" s="297">
        <v>14.641</v>
      </c>
      <c r="AV123" s="297">
        <v>1.097</v>
      </c>
      <c r="AW123" s="297">
        <v>1.016</v>
      </c>
      <c r="AX123" s="297">
        <v>1.109</v>
      </c>
      <c r="AY123" s="297">
        <v>2.0750000000000002</v>
      </c>
      <c r="AZ123" s="297">
        <v>1.085</v>
      </c>
      <c r="BA123" s="297">
        <v>0.76200000000000001</v>
      </c>
      <c r="BB123" s="297">
        <v>1.0720000000000001</v>
      </c>
    </row>
    <row r="124" spans="1:54">
      <c r="A124" s="297" t="s">
        <v>1050</v>
      </c>
      <c r="AT124" s="297">
        <v>900</v>
      </c>
      <c r="AU124" s="297">
        <v>14.706</v>
      </c>
      <c r="AV124" s="297">
        <v>1.1080000000000001</v>
      </c>
      <c r="AW124" s="297">
        <v>1.026</v>
      </c>
      <c r="AX124" s="297">
        <v>1.1200000000000001</v>
      </c>
      <c r="AY124" s="297">
        <v>2.11</v>
      </c>
      <c r="AZ124" s="297">
        <v>1.1040000000000001</v>
      </c>
      <c r="BA124" s="297">
        <v>0.77500000000000002</v>
      </c>
      <c r="BB124" s="297">
        <v>1.0840000000000001</v>
      </c>
    </row>
    <row r="125" spans="1:54">
      <c r="A125" s="297" t="s">
        <v>1049</v>
      </c>
      <c r="AT125" s="297">
        <v>1000</v>
      </c>
      <c r="AU125" s="297">
        <v>14.776</v>
      </c>
      <c r="AV125" s="297">
        <v>1.1180000000000001</v>
      </c>
      <c r="AW125" s="297">
        <v>1.0349999999999999</v>
      </c>
      <c r="AX125" s="297">
        <v>1.1299999999999999</v>
      </c>
      <c r="AY125" s="297">
        <v>2.1139999999999999</v>
      </c>
      <c r="AZ125" s="297">
        <v>1.1220000000000001</v>
      </c>
      <c r="BA125" s="297">
        <v>0.78300000000000003</v>
      </c>
      <c r="BB125" s="297">
        <v>1.093</v>
      </c>
    </row>
    <row r="126" spans="1:54">
      <c r="A126" s="297" t="s">
        <v>1048</v>
      </c>
      <c r="AT126" s="297">
        <v>1100</v>
      </c>
      <c r="AU126" s="297">
        <v>14.853</v>
      </c>
      <c r="AV126" s="297">
        <v>1.127</v>
      </c>
      <c r="AW126" s="297">
        <v>1.0429999999999999</v>
      </c>
      <c r="AX126" s="297">
        <v>1.1399999999999999</v>
      </c>
      <c r="AY126" s="297">
        <v>2.177</v>
      </c>
      <c r="AZ126" s="297">
        <v>1.1379999999999999</v>
      </c>
      <c r="BA126" s="297">
        <v>0.79100000000000004</v>
      </c>
      <c r="BB126" s="297">
        <v>1.101</v>
      </c>
    </row>
    <row r="127" spans="1:54">
      <c r="A127" s="297" t="s">
        <v>1047</v>
      </c>
      <c r="AT127" s="297">
        <v>1200</v>
      </c>
      <c r="AU127" s="297">
        <v>14.933999999999999</v>
      </c>
      <c r="AV127" s="297">
        <v>1.1359999999999999</v>
      </c>
      <c r="AW127" s="297">
        <v>1.0509999999999999</v>
      </c>
      <c r="AX127" s="297">
        <v>1.149</v>
      </c>
      <c r="AY127" s="297">
        <v>2.2109999999999999</v>
      </c>
      <c r="AZ127" s="297">
        <v>1.153</v>
      </c>
      <c r="BA127" s="297">
        <v>0.79500000000000004</v>
      </c>
      <c r="BB127" s="297">
        <v>1.109</v>
      </c>
    </row>
    <row r="128" spans="1:54">
      <c r="A128" s="73"/>
      <c r="B128" s="73" t="s">
        <v>1046</v>
      </c>
      <c r="C128" s="73"/>
      <c r="D128" s="73"/>
      <c r="E128" s="73"/>
      <c r="F128" s="73"/>
      <c r="AT128" s="297">
        <v>1300</v>
      </c>
      <c r="AU128" s="297">
        <v>15.023</v>
      </c>
      <c r="AV128" s="297">
        <v>1.145</v>
      </c>
      <c r="AW128" s="297">
        <v>1.0580000000000001</v>
      </c>
      <c r="AX128" s="297">
        <v>1.1579999999999999</v>
      </c>
      <c r="AY128" s="297">
        <v>2.2429999999999999</v>
      </c>
      <c r="AZ128" s="297">
        <v>1.1659999999999999</v>
      </c>
      <c r="BA128" s="297">
        <v>0.80300000000000005</v>
      </c>
      <c r="BB128" s="297">
        <v>1.1180000000000001</v>
      </c>
    </row>
    <row r="129" spans="1:54">
      <c r="A129" s="297">
        <f>1491/4.18/20</f>
        <v>17.834928229665074</v>
      </c>
      <c r="D129" s="154">
        <v>1000</v>
      </c>
      <c r="E129" s="297" t="s">
        <v>1045</v>
      </c>
      <c r="AT129" s="297">
        <v>1400</v>
      </c>
      <c r="AU129" s="297">
        <v>15.113</v>
      </c>
      <c r="AV129" s="297">
        <v>1.153</v>
      </c>
      <c r="AW129" s="297">
        <v>1.0649999999999999</v>
      </c>
      <c r="AX129" s="297">
        <v>1.1659999999999999</v>
      </c>
      <c r="AY129" s="297">
        <v>2.274</v>
      </c>
      <c r="AZ129" s="297">
        <v>1.1779999999999999</v>
      </c>
      <c r="BA129" s="297">
        <v>0.81200000000000006</v>
      </c>
      <c r="BB129" s="297">
        <v>1.1259999999999999</v>
      </c>
    </row>
    <row r="130" spans="1:54">
      <c r="A130" s="270" t="s">
        <v>1030</v>
      </c>
      <c r="D130" s="297">
        <f>D129*0.018</f>
        <v>18</v>
      </c>
      <c r="E130" s="297" t="s">
        <v>1044</v>
      </c>
      <c r="AT130" s="297">
        <v>1500</v>
      </c>
      <c r="AU130" s="297">
        <v>15.202</v>
      </c>
      <c r="AV130" s="297">
        <v>1.1599999999999999</v>
      </c>
      <c r="AW130" s="297">
        <v>1.071</v>
      </c>
      <c r="AX130" s="297">
        <v>1.173</v>
      </c>
      <c r="AY130" s="297">
        <v>2.3050000000000002</v>
      </c>
      <c r="AZ130" s="297">
        <v>1.1890000000000001</v>
      </c>
      <c r="BA130" s="297">
        <v>0.81599999999999995</v>
      </c>
      <c r="BB130" s="297">
        <v>1.135</v>
      </c>
    </row>
    <row r="131" spans="1:54">
      <c r="A131" s="297" t="s">
        <v>1043</v>
      </c>
      <c r="B131" s="297" t="s">
        <v>902</v>
      </c>
      <c r="D131" s="297" t="s">
        <v>903</v>
      </c>
      <c r="G131" s="297" t="s">
        <v>904</v>
      </c>
      <c r="AT131" s="297">
        <v>1600</v>
      </c>
      <c r="AU131" s="297">
        <v>15.294</v>
      </c>
      <c r="AV131" s="297">
        <v>1.167</v>
      </c>
      <c r="AW131" s="297">
        <v>1.077</v>
      </c>
      <c r="AX131" s="297">
        <v>1.18</v>
      </c>
      <c r="AY131" s="297">
        <v>2.335</v>
      </c>
      <c r="AZ131" s="297">
        <v>1.2</v>
      </c>
      <c r="BA131" s="297">
        <v>0.82</v>
      </c>
      <c r="BB131" s="297">
        <v>1.139</v>
      </c>
    </row>
    <row r="132" spans="1:54">
      <c r="A132" s="297">
        <f>B134*60</f>
        <v>1.0680000000000001</v>
      </c>
      <c r="B132" s="297">
        <f>3600*B134</f>
        <v>64.08</v>
      </c>
      <c r="E132" s="297" t="s">
        <v>905</v>
      </c>
      <c r="G132" s="297">
        <f>3600*G134</f>
        <v>3600</v>
      </c>
      <c r="AT132" s="297">
        <v>1700</v>
      </c>
      <c r="AU132" s="297">
        <v>15.382999999999999</v>
      </c>
      <c r="AV132" s="297">
        <v>1.1739999999999999</v>
      </c>
      <c r="AW132" s="297">
        <v>1.083</v>
      </c>
      <c r="AX132" s="297">
        <v>1.1870000000000001</v>
      </c>
      <c r="AY132" s="297">
        <v>2.363</v>
      </c>
      <c r="AZ132" s="297">
        <v>1.2090000000000001</v>
      </c>
      <c r="BA132" s="297">
        <v>0.82499999999999996</v>
      </c>
      <c r="BB132" s="297">
        <v>1.143</v>
      </c>
    </row>
    <row r="133" spans="1:54">
      <c r="B133" s="297" t="s">
        <v>17</v>
      </c>
      <c r="C133" s="297" t="s">
        <v>907</v>
      </c>
      <c r="D133" s="297" t="s">
        <v>1029</v>
      </c>
      <c r="F133" s="297" t="s">
        <v>908</v>
      </c>
      <c r="G133" s="297" t="s">
        <v>22</v>
      </c>
      <c r="AT133" s="297">
        <v>1800</v>
      </c>
      <c r="AU133" s="297">
        <v>15.472</v>
      </c>
      <c r="AV133" s="297">
        <v>1.18</v>
      </c>
      <c r="AW133" s="297">
        <v>1.089</v>
      </c>
      <c r="AX133" s="297">
        <v>1.1919999999999999</v>
      </c>
      <c r="AY133" s="297">
        <v>2.391</v>
      </c>
      <c r="AZ133" s="297">
        <v>1.218</v>
      </c>
      <c r="BA133" s="297">
        <v>0.82899999999999996</v>
      </c>
      <c r="BB133" s="297">
        <v>1.151</v>
      </c>
    </row>
    <row r="134" spans="1:54">
      <c r="A134" s="297">
        <v>1</v>
      </c>
      <c r="B134" s="154">
        <v>1.78E-2</v>
      </c>
      <c r="C134" s="154">
        <v>90</v>
      </c>
      <c r="D134" s="154">
        <f>D130</f>
        <v>18</v>
      </c>
      <c r="E134" s="264">
        <f t="shared" ref="E134:E144" si="26">(C134-F134)*D134/10</f>
        <v>117</v>
      </c>
      <c r="F134" s="154">
        <v>25</v>
      </c>
      <c r="G134" s="154">
        <v>1</v>
      </c>
      <c r="AT134" s="297">
        <v>1900</v>
      </c>
      <c r="AU134" s="297">
        <v>15.561</v>
      </c>
      <c r="AV134" s="297">
        <v>1.1859999999999999</v>
      </c>
      <c r="AW134" s="297">
        <v>1.0940000000000001</v>
      </c>
      <c r="AX134" s="297">
        <v>1.198</v>
      </c>
      <c r="AY134" s="297">
        <v>2.4169999999999998</v>
      </c>
      <c r="AZ134" s="297">
        <v>1.226</v>
      </c>
      <c r="BA134" s="297">
        <v>0.83099999999999996</v>
      </c>
      <c r="BB134" s="297">
        <v>1.157</v>
      </c>
    </row>
    <row r="135" spans="1:54">
      <c r="A135" s="297">
        <v>2</v>
      </c>
      <c r="B135" s="297">
        <f t="shared" ref="B135:B144" si="27">B134</f>
        <v>1.78E-2</v>
      </c>
      <c r="C135" s="297">
        <f t="shared" ref="C135:C144" si="28">C134-E134/B134/4200</f>
        <v>88.434991974317811</v>
      </c>
      <c r="D135" s="297">
        <f t="shared" ref="D135:D144" si="29">D134</f>
        <v>18</v>
      </c>
      <c r="E135" s="297">
        <f t="shared" si="26"/>
        <v>114.23312841091493</v>
      </c>
      <c r="F135" s="297">
        <f t="shared" ref="F135:F144" si="30">F134-E134/G134/4200</f>
        <v>24.972142857142856</v>
      </c>
      <c r="G135" s="297">
        <f t="shared" ref="G135:G143" si="31">G134</f>
        <v>1</v>
      </c>
      <c r="AT135" s="297">
        <v>2000</v>
      </c>
      <c r="AU135" s="297">
        <v>15.648999999999999</v>
      </c>
      <c r="AV135" s="297">
        <v>1.1910000000000001</v>
      </c>
      <c r="AW135" s="297">
        <v>1.099</v>
      </c>
      <c r="AX135" s="297">
        <v>1.2030000000000001</v>
      </c>
      <c r="AY135" s="297">
        <v>2.4420000000000002</v>
      </c>
      <c r="AZ135" s="297">
        <v>1.2330000000000001</v>
      </c>
      <c r="BA135" s="297">
        <v>0.83299999999999996</v>
      </c>
      <c r="BB135" s="297">
        <v>1.1599999999999999</v>
      </c>
    </row>
    <row r="136" spans="1:54">
      <c r="A136" s="297">
        <v>3</v>
      </c>
      <c r="B136" s="297">
        <f t="shared" si="27"/>
        <v>1.78E-2</v>
      </c>
      <c r="C136" s="297">
        <f t="shared" si="28"/>
        <v>86.906994001994178</v>
      </c>
      <c r="D136" s="297">
        <f t="shared" si="29"/>
        <v>18</v>
      </c>
      <c r="E136" s="297">
        <f t="shared" si="26"/>
        <v>111.53168911576563</v>
      </c>
      <c r="F136" s="297">
        <f t="shared" si="30"/>
        <v>24.944944493235496</v>
      </c>
      <c r="G136" s="297">
        <f t="shared" si="31"/>
        <v>1</v>
      </c>
      <c r="AT136" s="297">
        <v>2100</v>
      </c>
      <c r="AU136" s="297">
        <v>15.736000000000001</v>
      </c>
      <c r="AV136" s="297">
        <v>1.1970000000000001</v>
      </c>
      <c r="AW136" s="297">
        <v>1.1040000000000001</v>
      </c>
      <c r="AX136" s="297">
        <v>1.208</v>
      </c>
      <c r="AY136" s="297">
        <v>2.4660000000000002</v>
      </c>
      <c r="AZ136" s="297">
        <v>1.2410000000000001</v>
      </c>
      <c r="BA136" s="297">
        <v>0.83699999999999997</v>
      </c>
      <c r="BB136" s="297">
        <v>1.1639999999999999</v>
      </c>
    </row>
    <row r="137" spans="1:54">
      <c r="A137" s="297">
        <v>4</v>
      </c>
      <c r="B137" s="297">
        <f t="shared" si="27"/>
        <v>1.78E-2</v>
      </c>
      <c r="C137" s="297">
        <f t="shared" si="28"/>
        <v>85.41513085170304</v>
      </c>
      <c r="D137" s="297">
        <f t="shared" si="29"/>
        <v>18</v>
      </c>
      <c r="E137" s="297">
        <f t="shared" si="26"/>
        <v>108.89413474057692</v>
      </c>
      <c r="F137" s="297">
        <f t="shared" si="30"/>
        <v>24.918389329160313</v>
      </c>
      <c r="G137" s="297">
        <f t="shared" si="31"/>
        <v>1</v>
      </c>
      <c r="AT137" s="297">
        <v>2200</v>
      </c>
      <c r="AU137" s="297">
        <v>15.819000000000001</v>
      </c>
      <c r="AV137" s="297">
        <v>1.2010000000000001</v>
      </c>
      <c r="AW137" s="297">
        <v>1.109</v>
      </c>
      <c r="AX137" s="297">
        <v>1.2130000000000001</v>
      </c>
      <c r="AY137" s="297">
        <v>2.4889999999999999</v>
      </c>
      <c r="AZ137" s="297">
        <v>1.2470000000000001</v>
      </c>
      <c r="BA137" s="297">
        <v>0.84099999999999997</v>
      </c>
      <c r="BB137" s="297">
        <v>1.1679999999999999</v>
      </c>
    </row>
    <row r="138" spans="1:54">
      <c r="A138" s="297">
        <v>5</v>
      </c>
      <c r="B138" s="297">
        <f t="shared" si="27"/>
        <v>1.78E-2</v>
      </c>
      <c r="C138" s="297">
        <f t="shared" si="28"/>
        <v>83.958547990004575</v>
      </c>
      <c r="D138" s="297">
        <f t="shared" si="29"/>
        <v>18</v>
      </c>
      <c r="E138" s="297">
        <f t="shared" si="26"/>
        <v>106.3189545044085</v>
      </c>
      <c r="F138" s="297">
        <f t="shared" si="30"/>
        <v>24.892462154222081</v>
      </c>
      <c r="G138" s="297">
        <f t="shared" si="31"/>
        <v>1</v>
      </c>
      <c r="AT138" s="297">
        <v>2300</v>
      </c>
      <c r="AU138" s="297">
        <v>15.901999999999999</v>
      </c>
      <c r="AV138" s="297">
        <v>1.206</v>
      </c>
      <c r="AW138" s="297">
        <v>1.1140000000000001</v>
      </c>
      <c r="AX138" s="297">
        <v>1.218</v>
      </c>
      <c r="AY138" s="297">
        <v>2.512</v>
      </c>
      <c r="AZ138" s="297">
        <v>1.2529999999999999</v>
      </c>
      <c r="BA138" s="297">
        <v>0.84299999999999997</v>
      </c>
      <c r="BB138" s="297">
        <v>1.1719999999999999</v>
      </c>
    </row>
    <row r="139" spans="1:54">
      <c r="A139" s="297">
        <v>6</v>
      </c>
      <c r="B139" s="297">
        <f t="shared" si="27"/>
        <v>1.78E-2</v>
      </c>
      <c r="C139" s="297">
        <f t="shared" si="28"/>
        <v>82.53641109187177</v>
      </c>
      <c r="D139" s="297">
        <f t="shared" si="29"/>
        <v>18</v>
      </c>
      <c r="E139" s="297">
        <f t="shared" si="26"/>
        <v>103.80467335398562</v>
      </c>
      <c r="F139" s="297">
        <f t="shared" si="30"/>
        <v>24.867148117435317</v>
      </c>
      <c r="G139" s="297">
        <f t="shared" si="31"/>
        <v>1</v>
      </c>
      <c r="AT139" s="297">
        <v>2400</v>
      </c>
      <c r="AU139" s="297">
        <v>15.983000000000001</v>
      </c>
      <c r="AV139" s="297">
        <v>1.21</v>
      </c>
      <c r="AW139" s="297">
        <v>1.1180000000000001</v>
      </c>
      <c r="AX139" s="297">
        <v>1.222</v>
      </c>
      <c r="AY139" s="297">
        <v>2.5329999999999999</v>
      </c>
      <c r="AZ139" s="297">
        <v>1.2589999999999999</v>
      </c>
      <c r="BA139" s="297">
        <v>0.84599999999999997</v>
      </c>
      <c r="BB139" s="297">
        <v>1.1759999999999999</v>
      </c>
    </row>
    <row r="140" spans="1:54">
      <c r="A140" s="297">
        <v>7</v>
      </c>
      <c r="B140" s="297">
        <f t="shared" si="27"/>
        <v>1.78E-2</v>
      </c>
      <c r="C140" s="297">
        <f t="shared" si="28"/>
        <v>81.147905562792246</v>
      </c>
      <c r="D140" s="297">
        <f t="shared" si="29"/>
        <v>18</v>
      </c>
      <c r="E140" s="297">
        <f t="shared" si="26"/>
        <v>101.34985111879419</v>
      </c>
      <c r="F140" s="297">
        <f t="shared" si="30"/>
        <v>24.842432719017701</v>
      </c>
      <c r="G140" s="297">
        <f t="shared" si="31"/>
        <v>1</v>
      </c>
      <c r="AT140" s="297">
        <v>2500</v>
      </c>
      <c r="AU140" s="297">
        <v>16.064</v>
      </c>
      <c r="AV140" s="297">
        <v>1.214</v>
      </c>
      <c r="AW140" s="297">
        <v>1.123</v>
      </c>
      <c r="AX140" s="297">
        <v>1.226</v>
      </c>
      <c r="AY140" s="297">
        <v>2.5539999999999998</v>
      </c>
      <c r="AZ140" s="297">
        <v>1.264</v>
      </c>
      <c r="BA140" s="297">
        <v>0.84899999999999998</v>
      </c>
      <c r="BB140" s="297">
        <v>1.181</v>
      </c>
    </row>
    <row r="141" spans="1:54">
      <c r="A141" s="297">
        <v>8</v>
      </c>
      <c r="B141" s="297">
        <f t="shared" si="27"/>
        <v>1.78E-2</v>
      </c>
      <c r="C141" s="297">
        <f t="shared" si="28"/>
        <v>79.792236072171676</v>
      </c>
      <c r="D141" s="297">
        <f t="shared" si="29"/>
        <v>18</v>
      </c>
      <c r="E141" s="297">
        <f t="shared" si="26"/>
        <v>98.953081686156636</v>
      </c>
      <c r="F141" s="297">
        <f t="shared" si="30"/>
        <v>24.818301802084655</v>
      </c>
      <c r="G141" s="297">
        <f t="shared" si="31"/>
        <v>1</v>
      </c>
      <c r="AT141" s="297">
        <v>2600</v>
      </c>
      <c r="AU141" s="297">
        <v>16.140999999999998</v>
      </c>
      <c r="AV141" s="297">
        <v>1.222</v>
      </c>
      <c r="AW141" s="297">
        <v>1.127</v>
      </c>
      <c r="AX141" s="297">
        <v>1.2310000000000001</v>
      </c>
      <c r="AY141" s="297">
        <v>2.5739999999999998</v>
      </c>
      <c r="AZ141" s="297">
        <v>1.268</v>
      </c>
      <c r="BA141" s="297">
        <v>0.85</v>
      </c>
      <c r="BB141" s="297">
        <v>1.1850000000000001</v>
      </c>
    </row>
    <row r="142" spans="1:54">
      <c r="A142" s="297">
        <v>9</v>
      </c>
      <c r="B142" s="297">
        <f t="shared" si="27"/>
        <v>1.78E-2</v>
      </c>
      <c r="C142" s="297">
        <f t="shared" si="28"/>
        <v>78.468626097771505</v>
      </c>
      <c r="D142" s="297">
        <f t="shared" si="29"/>
        <v>18</v>
      </c>
      <c r="E142" s="297">
        <f t="shared" si="26"/>
        <v>96.612992195816119</v>
      </c>
      <c r="F142" s="297">
        <f t="shared" si="30"/>
        <v>24.794741544540333</v>
      </c>
      <c r="G142" s="297">
        <f t="shared" si="31"/>
        <v>1</v>
      </c>
      <c r="AT142" s="297">
        <v>2700</v>
      </c>
      <c r="AU142" s="297">
        <v>16.215</v>
      </c>
      <c r="AV142" s="297">
        <v>1.224</v>
      </c>
      <c r="AW142" s="297">
        <v>1.131</v>
      </c>
      <c r="AX142" s="297">
        <v>1.2350000000000001</v>
      </c>
      <c r="AY142" s="297">
        <v>2.5939999999999999</v>
      </c>
      <c r="AZ142" s="297">
        <v>1.2729999999999999</v>
      </c>
      <c r="BA142" s="297">
        <v>0.85199999999999998</v>
      </c>
      <c r="BB142" s="297">
        <v>1.1890000000000001</v>
      </c>
    </row>
    <row r="143" spans="1:54">
      <c r="A143" s="297">
        <v>10</v>
      </c>
      <c r="B143" s="297">
        <f t="shared" si="27"/>
        <v>1.78E-2</v>
      </c>
      <c r="C143" s="297">
        <f t="shared" si="28"/>
        <v>77.176317480920034</v>
      </c>
      <c r="D143" s="297">
        <f t="shared" si="29"/>
        <v>18</v>
      </c>
      <c r="E143" s="297">
        <f t="shared" si="26"/>
        <v>94.328242253567382</v>
      </c>
      <c r="F143" s="297">
        <f t="shared" si="30"/>
        <v>24.771738451160378</v>
      </c>
      <c r="G143" s="297">
        <f t="shared" si="31"/>
        <v>1</v>
      </c>
      <c r="AT143" s="297">
        <v>2800</v>
      </c>
      <c r="AU143" s="297">
        <v>16.308</v>
      </c>
      <c r="AV143" s="297">
        <v>1.2270000000000001</v>
      </c>
      <c r="AW143" s="297">
        <v>1.1339999999999999</v>
      </c>
      <c r="AX143" s="297">
        <v>1.238</v>
      </c>
      <c r="AY143" s="297">
        <v>2.6120000000000001</v>
      </c>
      <c r="AZ143" s="297">
        <v>1.2769999999999999</v>
      </c>
      <c r="BA143" s="297">
        <v>0.85399999999999998</v>
      </c>
      <c r="BB143" s="297">
        <v>1.1930000000000001</v>
      </c>
    </row>
    <row r="144" spans="1:54">
      <c r="A144" s="297">
        <v>11</v>
      </c>
      <c r="B144" s="297">
        <f t="shared" si="27"/>
        <v>1.78E-2</v>
      </c>
      <c r="C144" s="297">
        <f t="shared" si="28"/>
        <v>75.914569992242036</v>
      </c>
      <c r="D144" s="297">
        <f t="shared" si="29"/>
        <v>18</v>
      </c>
      <c r="E144" s="297">
        <f t="shared" si="26"/>
        <v>92.097523163484226</v>
      </c>
      <c r="F144" s="297">
        <f t="shared" si="30"/>
        <v>24.749279345861908</v>
      </c>
      <c r="AT144" s="297">
        <v>2900</v>
      </c>
      <c r="AU144" s="297">
        <v>16.388000000000002</v>
      </c>
      <c r="AV144" s="297">
        <v>1.2310000000000001</v>
      </c>
      <c r="AW144" s="297">
        <v>1.143</v>
      </c>
      <c r="AX144" s="297">
        <v>1.24</v>
      </c>
      <c r="AY144" s="297">
        <v>2.621</v>
      </c>
      <c r="AZ144" s="297">
        <v>1.2809999999999999</v>
      </c>
      <c r="BA144" s="297">
        <v>0.85399999999999998</v>
      </c>
      <c r="BB144" s="297">
        <v>1.196</v>
      </c>
    </row>
    <row r="145" spans="1:54">
      <c r="AT145" s="297">
        <v>3000</v>
      </c>
      <c r="AU145" s="297">
        <v>16.451000000000001</v>
      </c>
      <c r="AV145" s="297">
        <v>1.2350000000000001</v>
      </c>
      <c r="AW145" s="297">
        <v>1.147</v>
      </c>
      <c r="AX145" s="297">
        <v>1.2430000000000001</v>
      </c>
      <c r="AY145" s="297">
        <v>2.63</v>
      </c>
      <c r="AZ145" s="297">
        <v>1.2849999999999999</v>
      </c>
      <c r="BA145" s="297">
        <v>0.85399999999999998</v>
      </c>
      <c r="BB145" s="297">
        <v>1.1970000000000001</v>
      </c>
    </row>
    <row r="146" spans="1:54">
      <c r="A146" s="297" t="s">
        <v>910</v>
      </c>
      <c r="C146" s="297">
        <f>(C134-C144)*B134*4200</f>
        <v>1053.0267473799854</v>
      </c>
      <c r="E146" s="297">
        <f>SUM(E134:E143)</f>
        <v>1053.0267473799859</v>
      </c>
      <c r="F146" s="297">
        <f>(F134-F144)*G134*4200</f>
        <v>1053.0267473799881</v>
      </c>
    </row>
    <row r="147" spans="1:54">
      <c r="C147" s="297" t="s">
        <v>1042</v>
      </c>
    </row>
    <row r="148" spans="1:54">
      <c r="A148" s="297" t="s">
        <v>18</v>
      </c>
      <c r="B148" s="154">
        <v>12</v>
      </c>
      <c r="C148" s="297">
        <f>$B$144/(B148-2)/(B148-2)/3.14*4*1000</f>
        <v>0.22675159235668788</v>
      </c>
      <c r="D148" s="297" t="s">
        <v>1040</v>
      </c>
    </row>
    <row r="149" spans="1:54">
      <c r="A149" s="297" t="s">
        <v>18</v>
      </c>
      <c r="B149" s="154">
        <v>15</v>
      </c>
      <c r="C149" s="297">
        <f>$B$144/(B149-2)/(B149-2)/3.14*4*1000</f>
        <v>0.13417253985602834</v>
      </c>
      <c r="D149" s="297" t="s">
        <v>1040</v>
      </c>
      <c r="E149" s="297" t="s">
        <v>1041</v>
      </c>
    </row>
    <row r="150" spans="1:54">
      <c r="A150" s="297" t="s">
        <v>18</v>
      </c>
      <c r="B150" s="154">
        <v>18</v>
      </c>
      <c r="C150" s="297">
        <f>$B$144/(B150-2)/(B150-2)/3.14*4*1000</f>
        <v>8.8574840764331211E-2</v>
      </c>
      <c r="D150" s="297" t="s">
        <v>1040</v>
      </c>
    </row>
    <row r="151" spans="1:54">
      <c r="A151" s="297" t="s">
        <v>18</v>
      </c>
      <c r="B151" s="154">
        <v>22</v>
      </c>
      <c r="C151" s="297">
        <f>$B$144/(B151-2)/(B151-2)/3.14*4*1000</f>
        <v>5.6687898089171969E-2</v>
      </c>
      <c r="D151" s="297" t="s">
        <v>1040</v>
      </c>
    </row>
    <row r="152" spans="1:54">
      <c r="A152" s="73"/>
      <c r="B152" s="73"/>
      <c r="C152" s="73"/>
      <c r="D152" s="73"/>
      <c r="E152" s="73"/>
      <c r="F152" s="73"/>
      <c r="G152" s="73"/>
    </row>
    <row r="155" spans="1:54">
      <c r="A155" s="270" t="s">
        <v>1030</v>
      </c>
    </row>
    <row r="156" spans="1:54">
      <c r="B156" s="297" t="s">
        <v>902</v>
      </c>
      <c r="D156" s="297" t="s">
        <v>903</v>
      </c>
      <c r="G156" s="297" t="s">
        <v>904</v>
      </c>
    </row>
    <row r="157" spans="1:54">
      <c r="B157" s="297">
        <f>3600*B159</f>
        <v>6.1199999999999992</v>
      </c>
      <c r="E157" s="297" t="s">
        <v>905</v>
      </c>
      <c r="G157" s="297">
        <f>3600*G159</f>
        <v>3600</v>
      </c>
    </row>
    <row r="158" spans="1:54">
      <c r="B158" s="297" t="s">
        <v>17</v>
      </c>
      <c r="C158" s="297" t="s">
        <v>907</v>
      </c>
      <c r="D158" s="297" t="s">
        <v>1029</v>
      </c>
      <c r="F158" s="297" t="s">
        <v>908</v>
      </c>
      <c r="G158" s="297" t="s">
        <v>22</v>
      </c>
    </row>
    <row r="159" spans="1:54">
      <c r="A159" s="297">
        <v>1</v>
      </c>
      <c r="B159" s="154">
        <v>1.6999999999999999E-3</v>
      </c>
      <c r="C159" s="154">
        <v>80</v>
      </c>
      <c r="D159" s="154">
        <v>18</v>
      </c>
      <c r="E159" s="264">
        <f t="shared" ref="E159:E169" si="32">(C159-F159)*D159/10</f>
        <v>99</v>
      </c>
      <c r="F159" s="154">
        <v>25</v>
      </c>
      <c r="G159" s="154">
        <v>1</v>
      </c>
    </row>
    <row r="160" spans="1:54">
      <c r="A160" s="297">
        <v>2</v>
      </c>
      <c r="B160" s="297">
        <f t="shared" ref="B160:B169" si="33">B159</f>
        <v>1.6999999999999999E-3</v>
      </c>
      <c r="C160" s="297">
        <f t="shared" ref="C160:C169" si="34">C159-E159/B159/4200</f>
        <v>66.134453781512605</v>
      </c>
      <c r="D160" s="297">
        <f t="shared" ref="D160:D169" si="35">D159</f>
        <v>18</v>
      </c>
      <c r="E160" s="297">
        <f t="shared" si="32"/>
        <v>74.084445378151258</v>
      </c>
      <c r="F160" s="297">
        <f t="shared" ref="F160:F169" si="36">F159-E159/G159/4200</f>
        <v>24.976428571428571</v>
      </c>
      <c r="G160" s="297">
        <f t="shared" ref="G160:G168" si="37">G159</f>
        <v>1</v>
      </c>
    </row>
    <row r="161" spans="1:7">
      <c r="A161" s="297">
        <v>3</v>
      </c>
      <c r="B161" s="297">
        <f t="shared" si="33"/>
        <v>1.6999999999999999E-3</v>
      </c>
      <c r="C161" s="297">
        <f t="shared" si="34"/>
        <v>55.758481039474617</v>
      </c>
      <c r="D161" s="297">
        <f t="shared" si="35"/>
        <v>18</v>
      </c>
      <c r="E161" s="297">
        <f t="shared" si="32"/>
        <v>55.439444919073516</v>
      </c>
      <c r="F161" s="297">
        <f t="shared" si="36"/>
        <v>24.958789417767107</v>
      </c>
      <c r="G161" s="297">
        <f t="shared" si="37"/>
        <v>1</v>
      </c>
    </row>
    <row r="162" spans="1:7">
      <c r="A162" s="297">
        <v>4</v>
      </c>
      <c r="B162" s="297">
        <f t="shared" si="33"/>
        <v>1.6999999999999999E-3</v>
      </c>
      <c r="C162" s="297">
        <f t="shared" si="34"/>
        <v>47.993852899548351</v>
      </c>
      <c r="D162" s="297">
        <f t="shared" si="35"/>
        <v>18</v>
      </c>
      <c r="E162" s="297">
        <f t="shared" si="32"/>
        <v>41.486874029314414</v>
      </c>
      <c r="F162" s="297">
        <f t="shared" si="36"/>
        <v>24.945589549929231</v>
      </c>
      <c r="G162" s="297">
        <f t="shared" si="37"/>
        <v>1</v>
      </c>
    </row>
    <row r="163" spans="1:7">
      <c r="A163" s="297">
        <v>5</v>
      </c>
      <c r="B163" s="297">
        <f t="shared" si="33"/>
        <v>1.6999999999999999E-3</v>
      </c>
      <c r="C163" s="297">
        <f t="shared" si="34"/>
        <v>42.183366340820839</v>
      </c>
      <c r="D163" s="297">
        <f t="shared" si="35"/>
        <v>18</v>
      </c>
      <c r="E163" s="297">
        <f t="shared" si="32"/>
        <v>31.045778312474603</v>
      </c>
      <c r="F163" s="297">
        <f t="shared" si="36"/>
        <v>24.935711722779395</v>
      </c>
      <c r="G163" s="297">
        <f t="shared" si="37"/>
        <v>1</v>
      </c>
    </row>
    <row r="164" spans="1:7">
      <c r="A164" s="297">
        <v>6</v>
      </c>
      <c r="B164" s="297">
        <f t="shared" si="33"/>
        <v>1.6999999999999999E-3</v>
      </c>
      <c r="C164" s="297">
        <f t="shared" si="34"/>
        <v>37.835218117785182</v>
      </c>
      <c r="D164" s="297">
        <f t="shared" si="35"/>
        <v>18</v>
      </c>
      <c r="E164" s="297">
        <f t="shared" si="32"/>
        <v>23.232416844572906</v>
      </c>
      <c r="F164" s="297">
        <f t="shared" si="36"/>
        <v>24.928319870800234</v>
      </c>
      <c r="G164" s="297">
        <f t="shared" si="37"/>
        <v>1</v>
      </c>
    </row>
    <row r="165" spans="1:7">
      <c r="A165" s="297">
        <v>7</v>
      </c>
      <c r="B165" s="297">
        <f t="shared" si="33"/>
        <v>1.6999999999999999E-3</v>
      </c>
      <c r="C165" s="297">
        <f t="shared" si="34"/>
        <v>34.581378223587294</v>
      </c>
      <c r="D165" s="297">
        <f t="shared" si="35"/>
        <v>18</v>
      </c>
      <c r="E165" s="297">
        <f t="shared" si="32"/>
        <v>17.38546178509295</v>
      </c>
      <c r="F165" s="297">
        <f t="shared" si="36"/>
        <v>24.922788342980098</v>
      </c>
      <c r="G165" s="297">
        <f t="shared" si="37"/>
        <v>1</v>
      </c>
    </row>
    <row r="166" spans="1:7">
      <c r="A166" s="297">
        <v>8</v>
      </c>
      <c r="B166" s="297">
        <f t="shared" si="33"/>
        <v>1.6999999999999999E-3</v>
      </c>
      <c r="C166" s="297">
        <f t="shared" si="34"/>
        <v>32.146439598224134</v>
      </c>
      <c r="D166" s="297">
        <f t="shared" si="35"/>
        <v>18</v>
      </c>
      <c r="E166" s="297">
        <f t="shared" si="32"/>
        <v>13.010023171632875</v>
      </c>
      <c r="F166" s="297">
        <f t="shared" si="36"/>
        <v>24.918648947316981</v>
      </c>
      <c r="G166" s="297">
        <f t="shared" si="37"/>
        <v>1</v>
      </c>
    </row>
    <row r="167" spans="1:7">
      <c r="A167" s="297">
        <v>9</v>
      </c>
      <c r="B167" s="297">
        <f t="shared" si="33"/>
        <v>1.6999999999999999E-3</v>
      </c>
      <c r="C167" s="297">
        <f t="shared" si="34"/>
        <v>30.324307501356785</v>
      </c>
      <c r="D167" s="297">
        <f t="shared" si="35"/>
        <v>18</v>
      </c>
      <c r="E167" s="297">
        <f t="shared" si="32"/>
        <v>9.7357611214880588</v>
      </c>
      <c r="F167" s="297">
        <f t="shared" si="36"/>
        <v>24.915551322752307</v>
      </c>
      <c r="G167" s="297">
        <f t="shared" si="37"/>
        <v>1</v>
      </c>
    </row>
    <row r="168" spans="1:7">
      <c r="A168" s="297">
        <v>10</v>
      </c>
      <c r="B168" s="297">
        <f t="shared" si="33"/>
        <v>1.6999999999999999E-3</v>
      </c>
      <c r="C168" s="297">
        <f t="shared" si="34"/>
        <v>28.960755523557335</v>
      </c>
      <c r="D168" s="297">
        <f t="shared" si="35"/>
        <v>18</v>
      </c>
      <c r="E168" s="297">
        <f t="shared" si="32"/>
        <v>7.2855400305011147</v>
      </c>
      <c r="F168" s="297">
        <f t="shared" si="36"/>
        <v>24.913233284390049</v>
      </c>
      <c r="G168" s="297">
        <f t="shared" si="37"/>
        <v>1</v>
      </c>
    </row>
    <row r="169" spans="1:7">
      <c r="A169" s="297">
        <v>11</v>
      </c>
      <c r="B169" s="297">
        <f t="shared" si="33"/>
        <v>1.6999999999999999E-3</v>
      </c>
      <c r="C169" s="297">
        <f t="shared" si="34"/>
        <v>27.940371765784068</v>
      </c>
      <c r="D169" s="297">
        <f t="shared" si="35"/>
        <v>18</v>
      </c>
      <c r="E169" s="297">
        <f t="shared" si="32"/>
        <v>5.4519716408080212</v>
      </c>
      <c r="F169" s="297">
        <f t="shared" si="36"/>
        <v>24.911498632001834</v>
      </c>
    </row>
    <row r="171" spans="1:7">
      <c r="A171" s="297" t="s">
        <v>910</v>
      </c>
      <c r="C171" s="297">
        <f>(C159-C169)*B159*4200</f>
        <v>371.70574559230175</v>
      </c>
      <c r="E171" s="297">
        <f>SUM(E159:E168)</f>
        <v>371.70574559230175</v>
      </c>
      <c r="F171" s="297">
        <f>(F159-F169)*G159*4200</f>
        <v>371.7057455922976</v>
      </c>
    </row>
    <row r="173" spans="1:7">
      <c r="A173" s="297" t="s">
        <v>1039</v>
      </c>
    </row>
    <row r="174" spans="1:7">
      <c r="A174" s="297" t="s">
        <v>17</v>
      </c>
      <c r="B174" s="297" t="s">
        <v>27</v>
      </c>
      <c r="C174" s="297" t="s">
        <v>26</v>
      </c>
      <c r="D174" s="297" t="s">
        <v>1038</v>
      </c>
    </row>
    <row r="175" spans="1:7">
      <c r="A175" s="297">
        <v>1.2E-2</v>
      </c>
      <c r="B175" s="297">
        <v>90</v>
      </c>
      <c r="C175" s="297">
        <v>70</v>
      </c>
      <c r="D175" s="297">
        <v>1000</v>
      </c>
      <c r="E175" s="297" t="s">
        <v>1037</v>
      </c>
    </row>
    <row r="176" spans="1:7">
      <c r="A176" s="297">
        <v>1.6999999999999999E-3</v>
      </c>
      <c r="B176" s="297">
        <v>80</v>
      </c>
      <c r="C176" s="297">
        <v>28</v>
      </c>
      <c r="D176" s="297">
        <v>371</v>
      </c>
      <c r="E176" s="297" t="s">
        <v>1036</v>
      </c>
    </row>
    <row r="177" spans="1:7">
      <c r="A177" s="297">
        <v>1.0999999999999999E-2</v>
      </c>
      <c r="B177" s="297">
        <v>50</v>
      </c>
      <c r="C177" s="297">
        <v>42</v>
      </c>
      <c r="D177" s="297">
        <v>379</v>
      </c>
      <c r="E177" s="297" t="s">
        <v>1035</v>
      </c>
    </row>
    <row r="179" spans="1:7">
      <c r="A179" s="297" t="s">
        <v>1034</v>
      </c>
    </row>
    <row r="180" spans="1:7">
      <c r="A180" s="297" t="s">
        <v>1033</v>
      </c>
    </row>
    <row r="181" spans="1:7">
      <c r="A181" s="297" t="s">
        <v>1032</v>
      </c>
    </row>
    <row r="183" spans="1:7">
      <c r="C183" s="297" t="s">
        <v>1031</v>
      </c>
    </row>
    <row r="184" spans="1:7">
      <c r="A184" s="270" t="s">
        <v>1030</v>
      </c>
    </row>
    <row r="185" spans="1:7">
      <c r="B185" s="86" t="s">
        <v>597</v>
      </c>
    </row>
    <row r="186" spans="1:7">
      <c r="B186" s="297" t="s">
        <v>902</v>
      </c>
      <c r="D186" s="297" t="s">
        <v>903</v>
      </c>
      <c r="G186" s="297" t="s">
        <v>904</v>
      </c>
    </row>
    <row r="187" spans="1:7">
      <c r="B187" s="297">
        <f>3600*B189</f>
        <v>1080</v>
      </c>
      <c r="E187" s="297" t="s">
        <v>905</v>
      </c>
      <c r="G187" s="297">
        <f>3600*G189</f>
        <v>324</v>
      </c>
    </row>
    <row r="188" spans="1:7">
      <c r="B188" s="297" t="s">
        <v>17</v>
      </c>
      <c r="C188" s="297" t="s">
        <v>907</v>
      </c>
      <c r="D188" s="297" t="s">
        <v>1162</v>
      </c>
    </row>
    <row r="189" spans="1:7">
      <c r="A189" s="297">
        <v>1</v>
      </c>
      <c r="B189" s="154">
        <v>0.3</v>
      </c>
      <c r="C189" s="154">
        <v>70</v>
      </c>
      <c r="D189" s="154">
        <v>750</v>
      </c>
      <c r="E189" s="264">
        <f t="shared" ref="E189:E199" si="38">(C189-F189)*D189/10</f>
        <v>825</v>
      </c>
      <c r="F189" s="154">
        <v>59</v>
      </c>
      <c r="G189" s="154">
        <v>0.09</v>
      </c>
    </row>
    <row r="190" spans="1:7">
      <c r="A190" s="297">
        <v>2</v>
      </c>
      <c r="B190" s="297">
        <f t="shared" ref="B190:B199" si="39">B189</f>
        <v>0.3</v>
      </c>
      <c r="C190" s="297">
        <f t="shared" ref="C190:C199" si="40">C189-E189/B189/4200</f>
        <v>69.345238095238102</v>
      </c>
      <c r="D190" s="297">
        <f t="shared" ref="D190:D199" si="41">D189</f>
        <v>750</v>
      </c>
      <c r="E190" s="297">
        <f t="shared" si="38"/>
        <v>939.58333333333394</v>
      </c>
      <c r="F190" s="297">
        <f t="shared" ref="F190:F199" si="42">F189-E189/G189/4200</f>
        <v>56.817460317460316</v>
      </c>
      <c r="G190" s="297">
        <f t="shared" ref="G190:G198" si="43">G189</f>
        <v>0.09</v>
      </c>
    </row>
    <row r="191" spans="1:7">
      <c r="A191" s="297">
        <v>3</v>
      </c>
      <c r="B191" s="297">
        <f t="shared" si="39"/>
        <v>0.3</v>
      </c>
      <c r="C191" s="297">
        <f t="shared" si="40"/>
        <v>68.599537037037038</v>
      </c>
      <c r="D191" s="297">
        <f t="shared" si="41"/>
        <v>750</v>
      </c>
      <c r="E191" s="297">
        <f t="shared" si="38"/>
        <v>1070.0810185185189</v>
      </c>
      <c r="F191" s="297">
        <f t="shared" si="42"/>
        <v>54.331790123456784</v>
      </c>
      <c r="G191" s="297">
        <f t="shared" si="43"/>
        <v>0.09</v>
      </c>
    </row>
    <row r="192" spans="1:7">
      <c r="A192" s="297">
        <v>4</v>
      </c>
      <c r="B192" s="297">
        <f t="shared" si="39"/>
        <v>0.3</v>
      </c>
      <c r="C192" s="297">
        <f t="shared" si="40"/>
        <v>67.75026638741916</v>
      </c>
      <c r="D192" s="297">
        <f t="shared" si="41"/>
        <v>750</v>
      </c>
      <c r="E192" s="297">
        <f t="shared" si="38"/>
        <v>1218.703382201646</v>
      </c>
      <c r="F192" s="297">
        <f t="shared" si="42"/>
        <v>51.500887958063878</v>
      </c>
      <c r="G192" s="297">
        <f t="shared" si="43"/>
        <v>0.09</v>
      </c>
    </row>
    <row r="193" spans="1:7">
      <c r="A193" s="297">
        <v>5</v>
      </c>
      <c r="B193" s="297">
        <f t="shared" si="39"/>
        <v>0.3</v>
      </c>
      <c r="C193" s="297">
        <f t="shared" si="40"/>
        <v>66.783041480909915</v>
      </c>
      <c r="D193" s="297">
        <f t="shared" si="41"/>
        <v>750</v>
      </c>
      <c r="E193" s="297">
        <f t="shared" si="38"/>
        <v>1387.9677408407633</v>
      </c>
      <c r="F193" s="297">
        <f t="shared" si="42"/>
        <v>48.276804936366403</v>
      </c>
      <c r="G193" s="297">
        <f t="shared" si="43"/>
        <v>0.09</v>
      </c>
    </row>
    <row r="194" spans="1:7">
      <c r="A194" s="297">
        <v>6</v>
      </c>
      <c r="B194" s="297">
        <f t="shared" si="39"/>
        <v>0.3</v>
      </c>
      <c r="C194" s="297">
        <f t="shared" si="40"/>
        <v>65.68147978182995</v>
      </c>
      <c r="D194" s="297">
        <f t="shared" si="41"/>
        <v>750</v>
      </c>
      <c r="E194" s="297">
        <f t="shared" si="38"/>
        <v>1580.7410381797586</v>
      </c>
      <c r="F194" s="297">
        <f t="shared" si="42"/>
        <v>44.604932606099837</v>
      </c>
      <c r="G194" s="297">
        <f t="shared" si="43"/>
        <v>0.09</v>
      </c>
    </row>
    <row r="195" spans="1:7">
      <c r="A195" s="297">
        <v>7</v>
      </c>
      <c r="B195" s="297">
        <f t="shared" si="39"/>
        <v>0.3</v>
      </c>
      <c r="C195" s="297">
        <f t="shared" si="40"/>
        <v>64.426923402322203</v>
      </c>
      <c r="D195" s="297">
        <f t="shared" si="41"/>
        <v>750</v>
      </c>
      <c r="E195" s="297">
        <f t="shared" si="38"/>
        <v>1800.2884045936139</v>
      </c>
      <c r="F195" s="297">
        <f t="shared" si="42"/>
        <v>40.423078007740685</v>
      </c>
      <c r="G195" s="297">
        <f t="shared" si="43"/>
        <v>0.09</v>
      </c>
    </row>
    <row r="196" spans="1:7">
      <c r="A196" s="297">
        <v>8</v>
      </c>
      <c r="B196" s="297">
        <f t="shared" si="39"/>
        <v>0.3</v>
      </c>
      <c r="C196" s="297">
        <f t="shared" si="40"/>
        <v>62.998123081216157</v>
      </c>
      <c r="D196" s="297">
        <f t="shared" si="41"/>
        <v>750</v>
      </c>
      <c r="E196" s="297">
        <f t="shared" si="38"/>
        <v>2050.328460787171</v>
      </c>
      <c r="F196" s="297">
        <f t="shared" si="42"/>
        <v>35.66041027072054</v>
      </c>
      <c r="G196" s="297">
        <f t="shared" si="43"/>
        <v>0.09</v>
      </c>
    </row>
    <row r="197" spans="1:7">
      <c r="A197" s="297">
        <v>9</v>
      </c>
      <c r="B197" s="297">
        <f t="shared" si="39"/>
        <v>0.3</v>
      </c>
      <c r="C197" s="297">
        <f t="shared" si="40"/>
        <v>61.37087827106761</v>
      </c>
      <c r="D197" s="297">
        <f t="shared" si="41"/>
        <v>750</v>
      </c>
      <c r="E197" s="297">
        <f t="shared" si="38"/>
        <v>2335.0963025631672</v>
      </c>
      <c r="F197" s="297">
        <f t="shared" si="42"/>
        <v>30.236260903558712</v>
      </c>
      <c r="G197" s="297">
        <f t="shared" si="43"/>
        <v>0.09</v>
      </c>
    </row>
    <row r="198" spans="1:7">
      <c r="A198" s="297">
        <v>10</v>
      </c>
      <c r="B198" s="297">
        <f t="shared" si="39"/>
        <v>0.3</v>
      </c>
      <c r="C198" s="297">
        <f t="shared" si="40"/>
        <v>59.517627237287321</v>
      </c>
      <c r="D198" s="297">
        <f t="shared" si="41"/>
        <v>750</v>
      </c>
      <c r="E198" s="297">
        <f t="shared" si="38"/>
        <v>2659.4152334747187</v>
      </c>
      <c r="F198" s="297">
        <f t="shared" si="42"/>
        <v>24.058757457624406</v>
      </c>
      <c r="G198" s="297">
        <f t="shared" si="43"/>
        <v>0.09</v>
      </c>
    </row>
    <row r="199" spans="1:7">
      <c r="A199" s="297">
        <v>11</v>
      </c>
      <c r="B199" s="297">
        <f t="shared" si="39"/>
        <v>0.3</v>
      </c>
      <c r="C199" s="297">
        <f t="shared" si="40"/>
        <v>57.406980226593099</v>
      </c>
      <c r="D199" s="297">
        <f t="shared" si="41"/>
        <v>750</v>
      </c>
      <c r="E199" s="297">
        <f t="shared" si="38"/>
        <v>3028.7784603462069</v>
      </c>
      <c r="F199" s="297">
        <f t="shared" si="42"/>
        <v>17.023267421977003</v>
      </c>
    </row>
    <row r="201" spans="1:7">
      <c r="A201" s="297" t="s">
        <v>910</v>
      </c>
      <c r="C201" s="297">
        <f>(C189-C199)*B189*4200</f>
        <v>15867.204914492695</v>
      </c>
      <c r="E201" s="297">
        <f>SUM(E189:E198)</f>
        <v>15867.204914492693</v>
      </c>
      <c r="F201" s="297">
        <f>(F189-F199)*G189*4200</f>
        <v>15867.204914492691</v>
      </c>
    </row>
    <row r="204" spans="1:7">
      <c r="B204" s="297" t="s">
        <v>902</v>
      </c>
      <c r="D204" s="297" t="s">
        <v>903</v>
      </c>
      <c r="G204" s="297" t="s">
        <v>904</v>
      </c>
    </row>
    <row r="205" spans="1:7">
      <c r="B205" s="297">
        <f>3600*B207</f>
        <v>10.8</v>
      </c>
      <c r="E205" s="297" t="s">
        <v>905</v>
      </c>
      <c r="G205" s="297">
        <f>3600*G207</f>
        <v>3600</v>
      </c>
    </row>
    <row r="206" spans="1:7">
      <c r="B206" s="297" t="s">
        <v>17</v>
      </c>
      <c r="C206" s="297" t="s">
        <v>907</v>
      </c>
      <c r="D206" s="297" t="s">
        <v>1029</v>
      </c>
    </row>
    <row r="207" spans="1:7">
      <c r="A207" s="297">
        <v>1</v>
      </c>
      <c r="B207" s="154">
        <v>3.0000000000000001E-3</v>
      </c>
      <c r="C207" s="154">
        <v>80</v>
      </c>
      <c r="D207" s="154">
        <v>18</v>
      </c>
      <c r="E207" s="264">
        <f t="shared" ref="E207:E217" si="44">(C207-F207)*D207/10</f>
        <v>99</v>
      </c>
      <c r="F207" s="154">
        <v>25</v>
      </c>
      <c r="G207" s="154">
        <v>1</v>
      </c>
    </row>
    <row r="208" spans="1:7">
      <c r="A208" s="297">
        <v>2</v>
      </c>
      <c r="B208" s="297">
        <f t="shared" ref="B208:B217" si="45">B207</f>
        <v>3.0000000000000001E-3</v>
      </c>
      <c r="C208" s="297">
        <f t="shared" ref="C208:C217" si="46">C207-E207/B207/4200</f>
        <v>72.142857142857139</v>
      </c>
      <c r="D208" s="297">
        <f t="shared" ref="D208:D217" si="47">D207</f>
        <v>18</v>
      </c>
      <c r="E208" s="297">
        <f t="shared" si="44"/>
        <v>84.89957142857142</v>
      </c>
      <c r="F208" s="297">
        <f t="shared" ref="F208:F217" si="48">F207-E207/G207/4200</f>
        <v>24.976428571428571</v>
      </c>
      <c r="G208" s="297">
        <f t="shared" ref="G208:G216" si="49">G207</f>
        <v>1</v>
      </c>
    </row>
    <row r="209" spans="1:7">
      <c r="A209" s="297">
        <v>3</v>
      </c>
      <c r="B209" s="297">
        <f t="shared" si="45"/>
        <v>3.0000000000000001E-3</v>
      </c>
      <c r="C209" s="297">
        <f t="shared" si="46"/>
        <v>65.404795918367341</v>
      </c>
      <c r="D209" s="297">
        <f t="shared" si="47"/>
        <v>18</v>
      </c>
      <c r="E209" s="297">
        <f t="shared" si="44"/>
        <v>72.807446755102049</v>
      </c>
      <c r="F209" s="297">
        <f t="shared" si="48"/>
        <v>24.9562143877551</v>
      </c>
      <c r="G209" s="297">
        <f t="shared" si="49"/>
        <v>1</v>
      </c>
    </row>
    <row r="210" spans="1:7">
      <c r="A210" s="297">
        <v>4</v>
      </c>
      <c r="B210" s="297">
        <f t="shared" si="45"/>
        <v>3.0000000000000001E-3</v>
      </c>
      <c r="C210" s="297">
        <f t="shared" si="46"/>
        <v>59.626427128279879</v>
      </c>
      <c r="D210" s="297">
        <f t="shared" si="47"/>
        <v>18</v>
      </c>
      <c r="E210" s="297">
        <f t="shared" si="44"/>
        <v>62.437586124411077</v>
      </c>
      <c r="F210" s="297">
        <f t="shared" si="48"/>
        <v>24.938879281384839</v>
      </c>
      <c r="G210" s="297">
        <f t="shared" si="49"/>
        <v>1</v>
      </c>
    </row>
    <row r="211" spans="1:7">
      <c r="A211" s="297">
        <v>5</v>
      </c>
      <c r="B211" s="297">
        <f t="shared" si="45"/>
        <v>3.0000000000000001E-3</v>
      </c>
      <c r="C211" s="297">
        <f t="shared" si="46"/>
        <v>54.671063150152015</v>
      </c>
      <c r="D211" s="297">
        <f t="shared" si="47"/>
        <v>18</v>
      </c>
      <c r="E211" s="297">
        <f t="shared" si="44"/>
        <v>53.544689929262816</v>
      </c>
      <c r="F211" s="297">
        <f t="shared" si="48"/>
        <v>24.924013189450456</v>
      </c>
      <c r="G211" s="297">
        <f t="shared" si="49"/>
        <v>1</v>
      </c>
    </row>
    <row r="212" spans="1:7">
      <c r="A212" s="297">
        <v>6</v>
      </c>
      <c r="B212" s="297">
        <f t="shared" si="45"/>
        <v>3.0000000000000001E-3</v>
      </c>
      <c r="C212" s="297">
        <f t="shared" si="46"/>
        <v>50.421484584337506</v>
      </c>
      <c r="D212" s="297">
        <f t="shared" si="47"/>
        <v>18</v>
      </c>
      <c r="E212" s="297">
        <f t="shared" si="44"/>
        <v>45.918396235052086</v>
      </c>
      <c r="F212" s="297">
        <f t="shared" si="48"/>
        <v>24.911264453753013</v>
      </c>
      <c r="G212" s="297">
        <f t="shared" si="49"/>
        <v>1</v>
      </c>
    </row>
    <row r="213" spans="1:7">
      <c r="A213" s="297">
        <v>7</v>
      </c>
      <c r="B213" s="297">
        <f t="shared" si="45"/>
        <v>3.0000000000000001E-3</v>
      </c>
      <c r="C213" s="297">
        <f t="shared" si="46"/>
        <v>46.777167422825435</v>
      </c>
      <c r="D213" s="297">
        <f t="shared" si="47"/>
        <v>18</v>
      </c>
      <c r="E213" s="297">
        <f t="shared" si="44"/>
        <v>39.378304657002531</v>
      </c>
      <c r="F213" s="297">
        <f t="shared" si="48"/>
        <v>24.900331502268475</v>
      </c>
      <c r="G213" s="297">
        <f t="shared" si="49"/>
        <v>1</v>
      </c>
    </row>
    <row r="214" spans="1:7">
      <c r="A214" s="297">
        <v>8</v>
      </c>
      <c r="B214" s="297">
        <f t="shared" si="45"/>
        <v>3.0000000000000001E-3</v>
      </c>
      <c r="C214" s="297">
        <f t="shared" si="46"/>
        <v>43.651905148460159</v>
      </c>
      <c r="D214" s="297">
        <f t="shared" si="47"/>
        <v>18</v>
      </c>
      <c r="E214" s="297">
        <f t="shared" si="44"/>
        <v>33.769708979426603</v>
      </c>
      <c r="F214" s="297">
        <f t="shared" si="48"/>
        <v>24.890955715445379</v>
      </c>
      <c r="G214" s="297">
        <f t="shared" si="49"/>
        <v>1</v>
      </c>
    </row>
    <row r="215" spans="1:7">
      <c r="A215" s="297">
        <v>9</v>
      </c>
      <c r="B215" s="297">
        <f t="shared" si="45"/>
        <v>3.0000000000000001E-3</v>
      </c>
      <c r="C215" s="297">
        <f t="shared" si="46"/>
        <v>40.971769515172333</v>
      </c>
      <c r="D215" s="297">
        <f t="shared" si="47"/>
        <v>18</v>
      </c>
      <c r="E215" s="297">
        <f t="shared" si="44"/>
        <v>28.959937571928272</v>
      </c>
      <c r="F215" s="297">
        <f t="shared" si="48"/>
        <v>24.882915308545517</v>
      </c>
      <c r="G215" s="297">
        <f t="shared" si="49"/>
        <v>1</v>
      </c>
    </row>
    <row r="216" spans="1:7">
      <c r="A216" s="297">
        <v>10</v>
      </c>
      <c r="B216" s="297">
        <f t="shared" si="45"/>
        <v>3.0000000000000001E-3</v>
      </c>
      <c r="C216" s="297">
        <f t="shared" si="46"/>
        <v>38.673361771368505</v>
      </c>
      <c r="D216" s="297">
        <f t="shared" si="47"/>
        <v>18</v>
      </c>
      <c r="E216" s="297">
        <f t="shared" si="44"/>
        <v>24.835215034897917</v>
      </c>
      <c r="F216" s="297">
        <f t="shared" si="48"/>
        <v>24.876020085314106</v>
      </c>
      <c r="G216" s="297">
        <f t="shared" si="49"/>
        <v>1</v>
      </c>
    </row>
    <row r="217" spans="1:7">
      <c r="A217" s="297">
        <v>11</v>
      </c>
      <c r="B217" s="297">
        <f t="shared" si="45"/>
        <v>3.0000000000000001E-3</v>
      </c>
      <c r="C217" s="297">
        <f t="shared" si="46"/>
        <v>36.702312959075016</v>
      </c>
      <c r="D217" s="297">
        <f t="shared" si="47"/>
        <v>18</v>
      </c>
      <c r="E217" s="297">
        <f t="shared" si="44"/>
        <v>21.297970836356022</v>
      </c>
      <c r="F217" s="297">
        <f t="shared" si="48"/>
        <v>24.870106938877225</v>
      </c>
    </row>
    <row r="219" spans="1:7">
      <c r="A219" s="297" t="s">
        <v>910</v>
      </c>
      <c r="C219" s="297">
        <f>(C207-C217)*B207*4200</f>
        <v>545.55085671565485</v>
      </c>
      <c r="E219" s="297">
        <f>SUM(E207:E216)</f>
        <v>545.55085671565485</v>
      </c>
      <c r="F219" s="297">
        <f>(F207-F217)*G207*4200</f>
        <v>545.55085671565632</v>
      </c>
    </row>
  </sheetData>
  <hyperlinks>
    <hyperlink ref="AA61" r:id="rId1"/>
    <hyperlink ref="AA71" r:id="rId2"/>
    <hyperlink ref="AA77" r:id="rId3"/>
    <hyperlink ref="AA79" r:id="rId4"/>
    <hyperlink ref="AA87" r:id="rId5"/>
    <hyperlink ref="AK89" r:id="rId6" tooltip="Molární plynová konstanta" display="http://cs.wikipedia.org/wiki/Mol%C3%A1rn%C3%AD_plynov%C3%A1_konstanta"/>
    <hyperlink ref="AA98" r:id="rId7"/>
    <hyperlink ref="AA101" r:id="rId8"/>
    <hyperlink ref="AM77" r:id="rId9"/>
    <hyperlink ref="B185" r:id="rId10"/>
  </hyperlinks>
  <pageMargins left="0.7" right="0.7" top="0.78740157499999996" bottom="0.78740157499999996" header="0.3" footer="0.3"/>
  <pageSetup paperSize="9" orientation="portrait" r:id="rId11"/>
  <drawing r:id="rId12"/>
</worksheet>
</file>

<file path=xl/worksheets/sheet9.xml><?xml version="1.0" encoding="utf-8"?>
<worksheet xmlns="http://schemas.openxmlformats.org/spreadsheetml/2006/main" xmlns:r="http://schemas.openxmlformats.org/officeDocument/2006/relationships">
  <dimension ref="A1:T62"/>
  <sheetViews>
    <sheetView workbookViewId="0">
      <selection activeCell="J21" sqref="J21"/>
    </sheetView>
  </sheetViews>
  <sheetFormatPr defaultRowHeight="15"/>
  <cols>
    <col min="1" max="6" width="9.140625" style="243"/>
    <col min="7" max="7" width="13.42578125" style="243" customWidth="1"/>
    <col min="8" max="10" width="9.140625" style="243"/>
    <col min="11" max="11" width="15.85546875" style="243" customWidth="1"/>
    <col min="12" max="14" width="6.5703125" style="243" customWidth="1"/>
    <col min="15" max="16384" width="9.140625" style="243"/>
  </cols>
  <sheetData>
    <row r="1" spans="1:20">
      <c r="F1" s="86" t="s">
        <v>883</v>
      </c>
      <c r="N1" s="86" t="s">
        <v>882</v>
      </c>
    </row>
    <row r="2" spans="1:20">
      <c r="B2" s="2" t="s">
        <v>171</v>
      </c>
      <c r="C2" s="1"/>
      <c r="D2" s="1"/>
      <c r="N2" s="243" t="s">
        <v>881</v>
      </c>
      <c r="P2" s="243" t="s">
        <v>880</v>
      </c>
    </row>
    <row r="3" spans="1:20" ht="15.75" thickBot="1">
      <c r="B3" s="1" t="s">
        <v>172</v>
      </c>
      <c r="C3" s="8" t="s">
        <v>2</v>
      </c>
      <c r="D3" s="9" t="s">
        <v>1</v>
      </c>
      <c r="F3" s="86" t="s">
        <v>879</v>
      </c>
      <c r="Q3" s="86" t="s">
        <v>878</v>
      </c>
    </row>
    <row r="4" spans="1:20">
      <c r="A4" s="243" t="s">
        <v>240</v>
      </c>
      <c r="B4" s="1">
        <f>C4/1000/SQRT(D4/100)</f>
        <v>1</v>
      </c>
      <c r="C4" s="3">
        <v>1000</v>
      </c>
      <c r="D4" s="3">
        <v>100</v>
      </c>
      <c r="H4" s="86" t="s">
        <v>877</v>
      </c>
      <c r="Q4" s="243" t="s">
        <v>876</v>
      </c>
    </row>
    <row r="5" spans="1:20">
      <c r="A5" s="243">
        <f>33/4.18/(C5/3600)</f>
        <v>14.958448753462605</v>
      </c>
      <c r="B5" s="1">
        <f>C5/1000/SQRT(D5/100)</f>
        <v>5.0244159108054776</v>
      </c>
      <c r="C5" s="3">
        <v>1900</v>
      </c>
      <c r="D5" s="3">
        <v>14.3</v>
      </c>
      <c r="E5" s="243" t="s">
        <v>875</v>
      </c>
      <c r="H5" s="243" t="s">
        <v>893</v>
      </c>
      <c r="L5" s="243">
        <v>25</v>
      </c>
      <c r="M5" s="243">
        <f>33/30</f>
        <v>1.1000000000000001</v>
      </c>
      <c r="N5" s="243" t="s">
        <v>874</v>
      </c>
    </row>
    <row r="6" spans="1:20">
      <c r="A6" s="243">
        <f>33/4.18/(C6/3600)</f>
        <v>14.958448753462605</v>
      </c>
      <c r="B6" s="1">
        <f>C6/1000/SQRT(D6/100)</f>
        <v>5.006939628599933</v>
      </c>
      <c r="C6" s="3">
        <v>1900</v>
      </c>
      <c r="D6" s="3">
        <v>14.4</v>
      </c>
      <c r="H6" s="243">
        <f>33/0.42/7</f>
        <v>11.224489795918368</v>
      </c>
      <c r="I6" s="243" t="s">
        <v>894</v>
      </c>
      <c r="L6" s="243">
        <v>1</v>
      </c>
      <c r="M6" s="243">
        <v>1.4E-2</v>
      </c>
      <c r="N6" s="243" t="s">
        <v>124</v>
      </c>
    </row>
    <row r="7" spans="1:20">
      <c r="F7" s="244" t="s">
        <v>895</v>
      </c>
      <c r="L7" s="243">
        <v>25</v>
      </c>
      <c r="M7" s="243">
        <v>60</v>
      </c>
      <c r="N7" s="243" t="s">
        <v>873</v>
      </c>
    </row>
    <row r="8" spans="1:20">
      <c r="F8" s="244" t="s">
        <v>896</v>
      </c>
      <c r="L8" s="243">
        <f>L5/L6/L7</f>
        <v>1</v>
      </c>
      <c r="M8" s="243">
        <f>M5/M6/M7</f>
        <v>1.3095238095238095</v>
      </c>
      <c r="N8" s="243" t="s">
        <v>872</v>
      </c>
      <c r="T8" s="243" t="s">
        <v>871</v>
      </c>
    </row>
    <row r="9" spans="1:20">
      <c r="B9" s="243" t="s">
        <v>870</v>
      </c>
      <c r="C9" s="243" t="s">
        <v>869</v>
      </c>
      <c r="D9" s="243" t="s">
        <v>868</v>
      </c>
      <c r="E9" s="243" t="s">
        <v>867</v>
      </c>
      <c r="F9" s="243" t="s">
        <v>866</v>
      </c>
      <c r="G9" s="243" t="s">
        <v>865</v>
      </c>
      <c r="H9" s="243" t="s">
        <v>864</v>
      </c>
      <c r="I9" s="243" t="s">
        <v>863</v>
      </c>
      <c r="J9" s="243" t="s">
        <v>862</v>
      </c>
      <c r="K9" s="243" t="s">
        <v>545</v>
      </c>
      <c r="N9" s="243" t="s">
        <v>891</v>
      </c>
      <c r="O9" s="243" t="s">
        <v>890</v>
      </c>
      <c r="P9" s="243" t="s">
        <v>861</v>
      </c>
      <c r="Q9" s="243" t="s">
        <v>860</v>
      </c>
      <c r="R9" s="92" t="s">
        <v>859</v>
      </c>
      <c r="S9" s="243" t="s">
        <v>858</v>
      </c>
      <c r="T9" s="243">
        <v>16</v>
      </c>
    </row>
    <row r="10" spans="1:20">
      <c r="A10" s="92"/>
      <c r="B10" s="92" t="s">
        <v>857</v>
      </c>
      <c r="C10" s="92" t="s">
        <v>270</v>
      </c>
      <c r="D10" s="92" t="s">
        <v>270</v>
      </c>
      <c r="E10" s="92" t="s">
        <v>270</v>
      </c>
      <c r="F10" s="92" t="s">
        <v>270</v>
      </c>
      <c r="G10" s="92" t="s">
        <v>270</v>
      </c>
      <c r="H10" s="92" t="s">
        <v>270</v>
      </c>
      <c r="I10" s="92" t="s">
        <v>856</v>
      </c>
      <c r="J10" s="92" t="s">
        <v>855</v>
      </c>
      <c r="K10" s="92" t="s">
        <v>854</v>
      </c>
      <c r="L10" s="92"/>
      <c r="M10" s="92"/>
      <c r="N10" s="104">
        <v>30</v>
      </c>
      <c r="O10" s="243" t="s">
        <v>892</v>
      </c>
      <c r="P10" s="92" t="s">
        <v>151</v>
      </c>
      <c r="R10" s="92" t="s">
        <v>4</v>
      </c>
      <c r="S10" s="243" t="s">
        <v>4</v>
      </c>
      <c r="T10" s="243" t="s">
        <v>853</v>
      </c>
    </row>
    <row r="11" spans="1:20">
      <c r="A11" s="92" t="s">
        <v>852</v>
      </c>
      <c r="B11" s="92">
        <v>201</v>
      </c>
      <c r="C11" s="92">
        <v>80</v>
      </c>
      <c r="D11" s="92">
        <v>164</v>
      </c>
      <c r="E11" s="92">
        <v>42</v>
      </c>
      <c r="F11" s="92">
        <v>16</v>
      </c>
      <c r="G11" s="92" t="s">
        <v>849</v>
      </c>
      <c r="H11" s="92">
        <v>12</v>
      </c>
      <c r="I11" s="92">
        <v>1.4E-2</v>
      </c>
      <c r="J11" s="92">
        <v>2.1999999999999999E-2</v>
      </c>
      <c r="K11" s="92" t="s">
        <v>851</v>
      </c>
      <c r="L11" s="92">
        <v>0.7</v>
      </c>
      <c r="M11" s="92">
        <v>4.4999999999999998E-2</v>
      </c>
      <c r="N11" s="92">
        <f t="shared" ref="N11:N18" si="0">L11+M11*N$10</f>
        <v>2.0499999999999998</v>
      </c>
      <c r="O11" s="243">
        <f>N$10*I11</f>
        <v>0.42</v>
      </c>
      <c r="P11" s="92">
        <v>60</v>
      </c>
      <c r="Q11" s="243">
        <f t="shared" ref="Q11:Q18" si="1">B11*C11/1000000/I11</f>
        <v>1.1485714285714286</v>
      </c>
      <c r="R11" s="243">
        <f t="shared" ref="R11:R18" si="2">J11/1000/I11*1000</f>
        <v>1.5714285714285712</v>
      </c>
      <c r="S11" s="243">
        <f t="shared" ref="S11:S18" si="3">M11/8000/I11*1000</f>
        <v>0.40178571428571425</v>
      </c>
      <c r="T11" s="243">
        <f t="shared" ref="T11:T18" si="4">T$9*1000/S11</f>
        <v>39822.222222222226</v>
      </c>
    </row>
    <row r="12" spans="1:20">
      <c r="A12" s="92" t="s">
        <v>850</v>
      </c>
      <c r="B12" s="92">
        <v>300</v>
      </c>
      <c r="C12" s="92">
        <v>80</v>
      </c>
      <c r="D12" s="92">
        <v>260</v>
      </c>
      <c r="E12" s="92">
        <v>42</v>
      </c>
      <c r="F12" s="92">
        <v>16</v>
      </c>
      <c r="G12" s="92" t="s">
        <v>849</v>
      </c>
      <c r="H12" s="92">
        <v>12</v>
      </c>
      <c r="I12" s="92">
        <v>2.1999999999999999E-2</v>
      </c>
      <c r="J12" s="92">
        <v>3.5000000000000003E-2</v>
      </c>
      <c r="K12" s="92" t="s">
        <v>848</v>
      </c>
      <c r="L12" s="92">
        <v>1.1000000000000001</v>
      </c>
      <c r="M12" s="92">
        <v>7.4999999999999997E-2</v>
      </c>
      <c r="N12" s="92">
        <f t="shared" si="0"/>
        <v>3.35</v>
      </c>
      <c r="O12" s="243">
        <f t="shared" ref="O12:O18" si="5">N$10*I12</f>
        <v>0.65999999999999992</v>
      </c>
      <c r="P12" s="92">
        <v>60</v>
      </c>
      <c r="Q12" s="243">
        <f t="shared" si="1"/>
        <v>1.0909090909090911</v>
      </c>
      <c r="R12" s="243">
        <f t="shared" si="2"/>
        <v>1.5909090909090913</v>
      </c>
      <c r="S12" s="243">
        <f t="shared" si="3"/>
        <v>0.42613636363636359</v>
      </c>
      <c r="T12" s="243">
        <f t="shared" si="4"/>
        <v>37546.666666666672</v>
      </c>
    </row>
    <row r="13" spans="1:20">
      <c r="A13" s="92" t="s">
        <v>847</v>
      </c>
      <c r="B13" s="92">
        <v>469</v>
      </c>
      <c r="C13" s="92">
        <v>80</v>
      </c>
      <c r="D13" s="92" t="s">
        <v>846</v>
      </c>
      <c r="E13" s="92" t="s">
        <v>845</v>
      </c>
      <c r="F13" s="92" t="s">
        <v>844</v>
      </c>
      <c r="G13" s="92" t="s">
        <v>843</v>
      </c>
      <c r="H13" s="92" t="s">
        <v>842</v>
      </c>
      <c r="I13" s="92">
        <v>3.4000000000000002E-2</v>
      </c>
      <c r="J13" s="92">
        <v>5.3999999999999999E-2</v>
      </c>
      <c r="K13" s="92" t="s">
        <v>841</v>
      </c>
      <c r="L13" s="92">
        <v>1.6</v>
      </c>
      <c r="M13" s="92">
        <v>0.12</v>
      </c>
      <c r="N13" s="92">
        <f t="shared" si="0"/>
        <v>5.1999999999999993</v>
      </c>
      <c r="O13" s="243">
        <f t="shared" si="5"/>
        <v>1.02</v>
      </c>
      <c r="P13" s="92">
        <v>60</v>
      </c>
      <c r="Q13" s="243">
        <f t="shared" si="1"/>
        <v>1.1035294117647056</v>
      </c>
      <c r="R13" s="243">
        <f t="shared" si="2"/>
        <v>1.5882352941176467</v>
      </c>
      <c r="S13" s="243">
        <f t="shared" si="3"/>
        <v>0.44117647058823523</v>
      </c>
      <c r="T13" s="243">
        <f t="shared" si="4"/>
        <v>36266.666666666672</v>
      </c>
    </row>
    <row r="14" spans="1:20">
      <c r="A14" s="92" t="s">
        <v>840</v>
      </c>
      <c r="B14" s="92">
        <v>286</v>
      </c>
      <c r="C14" s="92">
        <v>117</v>
      </c>
      <c r="D14" s="92">
        <v>232</v>
      </c>
      <c r="E14" s="92">
        <v>68</v>
      </c>
      <c r="F14" s="92">
        <v>28</v>
      </c>
      <c r="G14" s="92" t="s">
        <v>835</v>
      </c>
      <c r="H14" s="92">
        <v>24</v>
      </c>
      <c r="I14" s="92">
        <v>3.1E-2</v>
      </c>
      <c r="J14" s="92">
        <v>4.7E-2</v>
      </c>
      <c r="K14" s="92" t="s">
        <v>839</v>
      </c>
      <c r="L14" s="92">
        <v>1.4</v>
      </c>
      <c r="M14" s="92">
        <v>0.124</v>
      </c>
      <c r="N14" s="92">
        <f t="shared" si="0"/>
        <v>5.1199999999999992</v>
      </c>
      <c r="O14" s="243">
        <f t="shared" si="5"/>
        <v>0.92999999999999994</v>
      </c>
      <c r="P14" s="92">
        <v>150</v>
      </c>
      <c r="Q14" s="243">
        <f t="shared" si="1"/>
        <v>1.0794193548387097</v>
      </c>
      <c r="R14" s="243">
        <f t="shared" si="2"/>
        <v>1.5161290322580645</v>
      </c>
      <c r="S14" s="243">
        <f t="shared" si="3"/>
        <v>0.5</v>
      </c>
      <c r="T14" s="243">
        <f t="shared" si="4"/>
        <v>32000</v>
      </c>
    </row>
    <row r="15" spans="1:20">
      <c r="A15" s="92" t="s">
        <v>838</v>
      </c>
      <c r="B15" s="92">
        <v>414</v>
      </c>
      <c r="C15" s="92">
        <v>117</v>
      </c>
      <c r="D15" s="92">
        <v>360</v>
      </c>
      <c r="E15" s="92">
        <v>68</v>
      </c>
      <c r="F15" s="92">
        <v>28</v>
      </c>
      <c r="G15" s="92" t="s">
        <v>835</v>
      </c>
      <c r="H15" s="92">
        <v>24</v>
      </c>
      <c r="I15" s="92">
        <v>4.7E-2</v>
      </c>
      <c r="J15" s="92">
        <v>7.1999999999999995E-2</v>
      </c>
      <c r="K15" s="92" t="s">
        <v>837</v>
      </c>
      <c r="L15" s="92">
        <v>2.2000000000000002</v>
      </c>
      <c r="M15" s="92">
        <v>0.185</v>
      </c>
      <c r="N15" s="92">
        <f t="shared" si="0"/>
        <v>7.75</v>
      </c>
      <c r="O15" s="243">
        <f t="shared" si="5"/>
        <v>1.41</v>
      </c>
      <c r="P15" s="92">
        <v>150</v>
      </c>
      <c r="Q15" s="243">
        <f t="shared" si="1"/>
        <v>1.0305957446808511</v>
      </c>
      <c r="R15" s="243">
        <f t="shared" si="2"/>
        <v>1.531914893617021</v>
      </c>
      <c r="S15" s="243">
        <f t="shared" si="3"/>
        <v>0.49202127659574474</v>
      </c>
      <c r="T15" s="243">
        <f t="shared" si="4"/>
        <v>32518.918918918916</v>
      </c>
    </row>
    <row r="16" spans="1:20">
      <c r="A16" s="92" t="s">
        <v>836</v>
      </c>
      <c r="B16" s="92">
        <v>534</v>
      </c>
      <c r="C16" s="92">
        <v>117</v>
      </c>
      <c r="D16" s="92">
        <v>480</v>
      </c>
      <c r="E16" s="92">
        <v>68</v>
      </c>
      <c r="F16" s="92">
        <v>28</v>
      </c>
      <c r="G16" s="92" t="s">
        <v>835</v>
      </c>
      <c r="H16" s="92">
        <v>24</v>
      </c>
      <c r="I16" s="92">
        <v>0.06</v>
      </c>
      <c r="J16" s="92">
        <v>9.0999999999999998E-2</v>
      </c>
      <c r="K16" s="92" t="s">
        <v>834</v>
      </c>
      <c r="L16" s="92">
        <v>2.6</v>
      </c>
      <c r="M16" s="92">
        <v>0.24199999999999999</v>
      </c>
      <c r="N16" s="92">
        <f t="shared" si="0"/>
        <v>9.86</v>
      </c>
      <c r="O16" s="243">
        <f t="shared" si="5"/>
        <v>1.7999999999999998</v>
      </c>
      <c r="P16" s="92">
        <v>150</v>
      </c>
      <c r="Q16" s="243">
        <f t="shared" si="1"/>
        <v>1.0413000000000001</v>
      </c>
      <c r="R16" s="243">
        <f t="shared" si="2"/>
        <v>1.5166666666666668</v>
      </c>
      <c r="S16" s="243">
        <f t="shared" si="3"/>
        <v>0.50416666666666665</v>
      </c>
      <c r="T16" s="243">
        <f t="shared" si="4"/>
        <v>31735.537190082647</v>
      </c>
    </row>
    <row r="17" spans="1:20">
      <c r="A17" s="92" t="s">
        <v>833</v>
      </c>
      <c r="B17" s="92">
        <v>463</v>
      </c>
      <c r="C17" s="92">
        <v>255</v>
      </c>
      <c r="D17" s="92">
        <v>378</v>
      </c>
      <c r="E17" s="92">
        <v>170</v>
      </c>
      <c r="F17" s="92">
        <v>28</v>
      </c>
      <c r="G17" s="92" t="s">
        <v>832</v>
      </c>
      <c r="H17" s="92">
        <v>24</v>
      </c>
      <c r="I17" s="92">
        <v>0.11</v>
      </c>
      <c r="J17" s="92">
        <v>0.16200000000000001</v>
      </c>
      <c r="K17" s="92" t="s">
        <v>831</v>
      </c>
      <c r="L17" s="92">
        <v>4.3</v>
      </c>
      <c r="M17" s="92">
        <v>0.39</v>
      </c>
      <c r="N17" s="92">
        <f t="shared" si="0"/>
        <v>16</v>
      </c>
      <c r="O17" s="243">
        <f t="shared" si="5"/>
        <v>3.3</v>
      </c>
      <c r="P17" s="92">
        <v>180</v>
      </c>
      <c r="Q17" s="243">
        <f t="shared" si="1"/>
        <v>1.0733181818181818</v>
      </c>
      <c r="R17" s="243">
        <f t="shared" si="2"/>
        <v>1.4727272727272727</v>
      </c>
      <c r="S17" s="243">
        <f t="shared" si="3"/>
        <v>0.44318181818181818</v>
      </c>
      <c r="T17" s="243">
        <f t="shared" si="4"/>
        <v>36102.564102564102</v>
      </c>
    </row>
    <row r="18" spans="1:20">
      <c r="A18" s="92" t="s">
        <v>830</v>
      </c>
      <c r="B18" s="92">
        <v>685</v>
      </c>
      <c r="C18" s="92">
        <v>255</v>
      </c>
      <c r="D18" s="92">
        <v>600</v>
      </c>
      <c r="E18" s="92">
        <v>170</v>
      </c>
      <c r="F18" s="92">
        <v>28</v>
      </c>
      <c r="G18" s="92" t="s">
        <v>829</v>
      </c>
      <c r="H18" s="92">
        <v>24</v>
      </c>
      <c r="I18" s="92">
        <v>0.17</v>
      </c>
      <c r="J18" s="92">
        <v>0.255</v>
      </c>
      <c r="K18" s="92" t="s">
        <v>828</v>
      </c>
      <c r="L18" s="92">
        <v>5.9</v>
      </c>
      <c r="M18" s="92">
        <v>0.57499999999999996</v>
      </c>
      <c r="N18" s="92">
        <f t="shared" si="0"/>
        <v>23.15</v>
      </c>
      <c r="O18" s="243">
        <f t="shared" si="5"/>
        <v>5.1000000000000005</v>
      </c>
      <c r="P18" s="92">
        <v>180</v>
      </c>
      <c r="Q18" s="243">
        <f t="shared" si="1"/>
        <v>1.0274999999999999</v>
      </c>
      <c r="R18" s="243">
        <f t="shared" si="2"/>
        <v>1.5</v>
      </c>
      <c r="S18" s="243">
        <f t="shared" si="3"/>
        <v>0.42279411764705882</v>
      </c>
      <c r="T18" s="243">
        <f t="shared" si="4"/>
        <v>37843.478260869568</v>
      </c>
    </row>
    <row r="21" spans="1:20">
      <c r="A21" s="86"/>
      <c r="J21" s="243">
        <f>J24/F24</f>
        <v>4.75</v>
      </c>
    </row>
    <row r="22" spans="1:20">
      <c r="A22" s="86" t="s">
        <v>884</v>
      </c>
    </row>
    <row r="23" spans="1:20">
      <c r="C23" s="243" t="s">
        <v>59</v>
      </c>
      <c r="D23" s="243" t="s">
        <v>240</v>
      </c>
      <c r="E23" s="243" t="s">
        <v>610</v>
      </c>
      <c r="F23" s="243" t="s">
        <v>885</v>
      </c>
    </row>
    <row r="24" spans="1:20">
      <c r="A24" s="243">
        <v>20</v>
      </c>
      <c r="B24" s="243">
        <v>0.1</v>
      </c>
      <c r="C24" s="243">
        <f>4.2*A24*B24</f>
        <v>8.4</v>
      </c>
      <c r="D24" s="243">
        <v>40</v>
      </c>
      <c r="E24" s="243">
        <f>C24/D24</f>
        <v>0.21000000000000002</v>
      </c>
      <c r="F24" s="243">
        <v>0.12</v>
      </c>
      <c r="G24" s="243">
        <v>0.27</v>
      </c>
      <c r="H24" s="243">
        <v>0.42</v>
      </c>
      <c r="I24" s="243">
        <v>0.41</v>
      </c>
      <c r="J24" s="243">
        <v>0.56999999999999995</v>
      </c>
    </row>
    <row r="25" spans="1:20">
      <c r="F25" s="243">
        <v>2.54</v>
      </c>
      <c r="G25" s="243">
        <v>3.52</v>
      </c>
      <c r="H25" s="243">
        <v>4.1399999999999997</v>
      </c>
      <c r="I25" s="243">
        <v>5.29</v>
      </c>
      <c r="J25" s="243">
        <v>4.5999999999999996</v>
      </c>
    </row>
    <row r="26" spans="1:20">
      <c r="F26" s="243">
        <f>F24/F25</f>
        <v>4.7244094488188976E-2</v>
      </c>
      <c r="G26" s="243">
        <f t="shared" ref="G26:J26" si="6">G24/G25</f>
        <v>7.6704545454545456E-2</v>
      </c>
      <c r="H26" s="243">
        <f t="shared" si="6"/>
        <v>0.10144927536231885</v>
      </c>
      <c r="I26" s="243">
        <f t="shared" si="6"/>
        <v>7.7504725897920596E-2</v>
      </c>
      <c r="J26" s="243">
        <f t="shared" si="6"/>
        <v>0.12391304347826086</v>
      </c>
    </row>
    <row r="27" spans="1:20">
      <c r="D27" s="243">
        <v>20</v>
      </c>
      <c r="F27" s="243">
        <f>F28/F29</f>
        <v>8.7591240875912399E-2</v>
      </c>
      <c r="G27" s="243">
        <f t="shared" ref="G27:J27" si="7">G28/G29</f>
        <v>0.14210526315789476</v>
      </c>
      <c r="H27" s="243">
        <f t="shared" si="7"/>
        <v>0.18834080717488788</v>
      </c>
      <c r="I27" s="243">
        <f t="shared" si="7"/>
        <v>0.14385964912280699</v>
      </c>
      <c r="J27" s="243">
        <f t="shared" si="7"/>
        <v>0.22983870967741934</v>
      </c>
    </row>
    <row r="28" spans="1:20">
      <c r="E28" s="243">
        <f>C24/D27</f>
        <v>0.42000000000000004</v>
      </c>
      <c r="F28" s="243">
        <v>0.12</v>
      </c>
      <c r="G28" s="243">
        <v>0.27</v>
      </c>
      <c r="H28" s="243">
        <v>0.42</v>
      </c>
      <c r="I28" s="243">
        <v>0.41</v>
      </c>
      <c r="J28" s="243">
        <v>0.56999999999999995</v>
      </c>
    </row>
    <row r="29" spans="1:20">
      <c r="F29" s="243">
        <v>1.37</v>
      </c>
      <c r="G29" s="243">
        <v>1.9</v>
      </c>
      <c r="H29" s="243">
        <v>2.23</v>
      </c>
      <c r="I29" s="243">
        <v>2.85</v>
      </c>
      <c r="J29" s="243">
        <v>2.48</v>
      </c>
    </row>
    <row r="31" spans="1:20">
      <c r="E31" s="243" t="s">
        <v>872</v>
      </c>
      <c r="F31" s="243">
        <f>$E24/F26</f>
        <v>4.4450000000000003</v>
      </c>
      <c r="G31" s="243">
        <f t="shared" ref="G31:J31" si="8">$E24/G26</f>
        <v>2.7377777777777781</v>
      </c>
      <c r="H31" s="243">
        <f t="shared" si="8"/>
        <v>2.0700000000000003</v>
      </c>
      <c r="I31" s="243">
        <f t="shared" si="8"/>
        <v>2.7095121951219516</v>
      </c>
      <c r="J31" s="243">
        <f t="shared" si="8"/>
        <v>1.6947368421052633</v>
      </c>
    </row>
    <row r="32" spans="1:20">
      <c r="F32" s="243">
        <f>$E28/F27</f>
        <v>4.7950000000000008</v>
      </c>
      <c r="G32" s="243">
        <f t="shared" ref="G32:J32" si="9">$E28/G27</f>
        <v>2.9555555555555553</v>
      </c>
      <c r="H32" s="243">
        <f t="shared" si="9"/>
        <v>2.2300000000000004</v>
      </c>
      <c r="I32" s="243">
        <f t="shared" si="9"/>
        <v>2.919512195121952</v>
      </c>
      <c r="J32" s="243">
        <f t="shared" si="9"/>
        <v>1.8273684210526318</v>
      </c>
    </row>
    <row r="33" spans="1:19">
      <c r="F33" s="243">
        <f>$E40/(F39/F40)</f>
        <v>6.6675000000000004</v>
      </c>
      <c r="G33" s="243">
        <f t="shared" ref="G33:J33" si="10">$E40/(G39/G40)</f>
        <v>4.1766666666666667</v>
      </c>
      <c r="H33" s="243">
        <f t="shared" si="10"/>
        <v>3.1750000000000003</v>
      </c>
      <c r="I33" s="243">
        <f t="shared" si="10"/>
        <v>4.1282926829268298</v>
      </c>
      <c r="J33" s="243">
        <f t="shared" si="10"/>
        <v>2.6121052631578952</v>
      </c>
    </row>
    <row r="34" spans="1:19">
      <c r="F34" s="243">
        <f>$E41/(F39/F41)</f>
        <v>7.2100000000000017</v>
      </c>
      <c r="G34" s="243">
        <f t="shared" ref="G34:J34" si="11">$E41/(G39/G41)</f>
        <v>4.5266666666666673</v>
      </c>
      <c r="H34" s="243">
        <f t="shared" si="11"/>
        <v>3.4400000000000004</v>
      </c>
      <c r="I34" s="243">
        <f t="shared" si="11"/>
        <v>4.4765853658536594</v>
      </c>
      <c r="J34" s="243">
        <f t="shared" si="11"/>
        <v>2.8294736842105266</v>
      </c>
    </row>
    <row r="35" spans="1:19">
      <c r="F35" s="244" t="s">
        <v>886</v>
      </c>
    </row>
    <row r="37" spans="1:19">
      <c r="M37" s="243" t="s">
        <v>887</v>
      </c>
      <c r="P37" s="243" t="s">
        <v>124</v>
      </c>
      <c r="Q37" s="243" t="s">
        <v>872</v>
      </c>
      <c r="R37" s="243" t="s">
        <v>888</v>
      </c>
    </row>
    <row r="38" spans="1:19">
      <c r="M38" s="243">
        <v>192</v>
      </c>
      <c r="N38" s="243">
        <v>73</v>
      </c>
      <c r="O38" s="243">
        <v>13</v>
      </c>
      <c r="P38" s="243">
        <f>M38*N38*O38/1000000</f>
        <v>0.18220800000000001</v>
      </c>
      <c r="Q38" s="243">
        <v>7</v>
      </c>
      <c r="R38" s="243">
        <f>P38*Q38</f>
        <v>1.2754560000000001</v>
      </c>
    </row>
    <row r="39" spans="1:19">
      <c r="F39" s="243">
        <v>0.12</v>
      </c>
      <c r="G39" s="243">
        <v>0.27</v>
      </c>
      <c r="H39" s="243">
        <v>0.42</v>
      </c>
      <c r="I39" s="243">
        <v>0.41</v>
      </c>
      <c r="J39" s="243">
        <v>0.56999999999999995</v>
      </c>
      <c r="L39" s="243" t="s">
        <v>889</v>
      </c>
      <c r="M39" s="243">
        <v>153.5</v>
      </c>
      <c r="N39" s="243">
        <v>39.5</v>
      </c>
      <c r="R39" s="243">
        <v>30</v>
      </c>
      <c r="S39" s="243" t="s">
        <v>59</v>
      </c>
    </row>
    <row r="40" spans="1:19">
      <c r="A40" s="243">
        <v>10</v>
      </c>
      <c r="B40" s="243">
        <v>0.2</v>
      </c>
      <c r="C40" s="243">
        <f t="shared" ref="C40:C41" si="12">4.2*A40*B40</f>
        <v>8.4</v>
      </c>
      <c r="D40" s="243">
        <v>40</v>
      </c>
      <c r="E40" s="243">
        <f>C40/D40</f>
        <v>0.21000000000000002</v>
      </c>
      <c r="F40" s="243">
        <v>3.81</v>
      </c>
      <c r="G40" s="243">
        <v>5.37</v>
      </c>
      <c r="H40" s="243">
        <v>6.35</v>
      </c>
      <c r="I40" s="243">
        <v>8.06</v>
      </c>
      <c r="J40" s="243">
        <v>7.09</v>
      </c>
      <c r="L40" s="243" t="s">
        <v>18</v>
      </c>
      <c r="M40" s="243">
        <v>21</v>
      </c>
      <c r="R40" s="243">
        <f>R39/R38</f>
        <v>23.520999548396805</v>
      </c>
      <c r="S40" s="243" t="s">
        <v>894</v>
      </c>
    </row>
    <row r="41" spans="1:19">
      <c r="A41" s="243">
        <v>10</v>
      </c>
      <c r="B41" s="243">
        <v>0.2</v>
      </c>
      <c r="C41" s="243">
        <f t="shared" si="12"/>
        <v>8.4</v>
      </c>
      <c r="D41" s="243">
        <v>20</v>
      </c>
      <c r="E41" s="243">
        <f>C41/D41</f>
        <v>0.42000000000000004</v>
      </c>
      <c r="F41" s="243">
        <v>2.06</v>
      </c>
      <c r="G41" s="243">
        <v>2.91</v>
      </c>
      <c r="H41" s="243">
        <v>3.44</v>
      </c>
      <c r="I41" s="243">
        <v>4.37</v>
      </c>
      <c r="J41" s="243">
        <v>3.84</v>
      </c>
      <c r="L41" s="243" t="s">
        <v>897</v>
      </c>
      <c r="O41" s="243">
        <v>2.2999999999999998</v>
      </c>
      <c r="P41" s="243" t="s">
        <v>4</v>
      </c>
    </row>
    <row r="42" spans="1:19">
      <c r="L42" s="243" t="s">
        <v>901</v>
      </c>
    </row>
    <row r="45" spans="1:19">
      <c r="M45" s="243" t="s">
        <v>902</v>
      </c>
      <c r="O45" s="243" t="s">
        <v>903</v>
      </c>
      <c r="R45" s="243" t="s">
        <v>904</v>
      </c>
    </row>
    <row r="46" spans="1:19">
      <c r="M46" s="243">
        <v>720</v>
      </c>
      <c r="P46" s="243" t="s">
        <v>905</v>
      </c>
      <c r="R46" s="243">
        <f>3600*R48</f>
        <v>792</v>
      </c>
    </row>
    <row r="47" spans="1:19">
      <c r="M47" s="243" t="s">
        <v>906</v>
      </c>
      <c r="N47" s="243" t="s">
        <v>907</v>
      </c>
      <c r="Q47" s="243" t="s">
        <v>908</v>
      </c>
      <c r="R47" s="243" t="s">
        <v>909</v>
      </c>
    </row>
    <row r="48" spans="1:19">
      <c r="L48" s="243">
        <v>1</v>
      </c>
      <c r="M48" s="154">
        <v>0.2</v>
      </c>
      <c r="N48" s="154">
        <v>80</v>
      </c>
      <c r="O48" s="154">
        <v>1270</v>
      </c>
      <c r="P48" s="264">
        <f>(N48-Q48)*O48/10</f>
        <v>3810</v>
      </c>
      <c r="Q48" s="154">
        <v>50</v>
      </c>
      <c r="R48" s="154">
        <v>0.22</v>
      </c>
    </row>
    <row r="49" spans="5:18">
      <c r="L49" s="243">
        <v>2</v>
      </c>
      <c r="M49" s="243">
        <f>M48</f>
        <v>0.2</v>
      </c>
      <c r="N49" s="243">
        <f>N48-P48/M48/4200</f>
        <v>75.464285714285708</v>
      </c>
      <c r="O49" s="243">
        <f>O48</f>
        <v>1270</v>
      </c>
      <c r="P49" s="243">
        <f>(N49-Q49)*O49/10</f>
        <v>3757.6331168831157</v>
      </c>
      <c r="Q49" s="243">
        <f>Q48-P48/R48/4200</f>
        <v>45.876623376623378</v>
      </c>
      <c r="R49" s="243">
        <f>R48</f>
        <v>0.22</v>
      </c>
    </row>
    <row r="50" spans="5:18">
      <c r="L50" s="243">
        <v>3</v>
      </c>
      <c r="M50" s="243">
        <f t="shared" ref="M50:M58" si="13">M49</f>
        <v>0.2</v>
      </c>
      <c r="N50" s="243">
        <f t="shared" ref="N50:N58" si="14">N49-P49/M49/4200</f>
        <v>70.99091295609152</v>
      </c>
      <c r="O50" s="243">
        <f t="shared" ref="O50:O58" si="15">O49</f>
        <v>1270</v>
      </c>
      <c r="P50" s="243">
        <f t="shared" ref="P50:P58" si="16">(N50-Q50)*O50/10</f>
        <v>3705.9859950385098</v>
      </c>
      <c r="Q50" s="243">
        <f t="shared" ref="Q50:Q58" si="17">Q49-P49/R49/4200</f>
        <v>41.809920869174121</v>
      </c>
      <c r="R50" s="243">
        <f t="shared" ref="R50:R58" si="18">R49</f>
        <v>0.22</v>
      </c>
    </row>
    <row r="51" spans="5:18">
      <c r="L51" s="243">
        <v>4</v>
      </c>
      <c r="M51" s="243">
        <f t="shared" si="13"/>
        <v>0.2</v>
      </c>
      <c r="N51" s="243">
        <f t="shared" si="14"/>
        <v>66.579024866759966</v>
      </c>
      <c r="O51" s="243">
        <f t="shared" si="15"/>
        <v>1270</v>
      </c>
      <c r="P51" s="243">
        <f t="shared" si="16"/>
        <v>3655.0487416435003</v>
      </c>
      <c r="Q51" s="243">
        <f t="shared" si="17"/>
        <v>37.799113515236343</v>
      </c>
      <c r="R51" s="243">
        <f t="shared" si="18"/>
        <v>0.22</v>
      </c>
    </row>
    <row r="52" spans="5:18">
      <c r="L52" s="243">
        <v>5</v>
      </c>
      <c r="M52" s="243">
        <f t="shared" si="13"/>
        <v>0.2</v>
      </c>
      <c r="N52" s="243">
        <f t="shared" si="14"/>
        <v>62.227776364803418</v>
      </c>
      <c r="O52" s="243">
        <f t="shared" si="15"/>
        <v>1270</v>
      </c>
      <c r="P52" s="243">
        <f t="shared" si="16"/>
        <v>3604.8115998481831</v>
      </c>
      <c r="Q52" s="243">
        <f t="shared" si="17"/>
        <v>33.843433058912211</v>
      </c>
      <c r="R52" s="243">
        <f t="shared" si="18"/>
        <v>0.22</v>
      </c>
    </row>
    <row r="53" spans="5:18">
      <c r="L53" s="243">
        <v>6</v>
      </c>
      <c r="M53" s="243">
        <f t="shared" si="13"/>
        <v>0.2</v>
      </c>
      <c r="N53" s="243">
        <f t="shared" si="14"/>
        <v>57.936333984031769</v>
      </c>
      <c r="O53" s="243">
        <f t="shared" si="15"/>
        <v>1270</v>
      </c>
      <c r="P53" s="243">
        <f t="shared" si="16"/>
        <v>3555.2649469065464</v>
      </c>
      <c r="Q53" s="243">
        <f t="shared" si="17"/>
        <v>29.942121803665259</v>
      </c>
      <c r="R53" s="243">
        <f t="shared" si="18"/>
        <v>0.22</v>
      </c>
    </row>
    <row r="54" spans="5:18">
      <c r="L54" s="243">
        <v>7</v>
      </c>
      <c r="M54" s="243">
        <f t="shared" si="13"/>
        <v>0.2</v>
      </c>
      <c r="N54" s="243">
        <f t="shared" si="14"/>
        <v>53.703875713904928</v>
      </c>
      <c r="O54" s="243">
        <f t="shared" si="15"/>
        <v>1270</v>
      </c>
      <c r="P54" s="243">
        <f t="shared" si="16"/>
        <v>3506.3992923332639</v>
      </c>
      <c r="Q54" s="243">
        <f t="shared" si="17"/>
        <v>26.094432467186312</v>
      </c>
      <c r="R54" s="243">
        <f t="shared" si="18"/>
        <v>0.22</v>
      </c>
    </row>
    <row r="55" spans="5:18">
      <c r="L55" s="243">
        <v>8</v>
      </c>
      <c r="M55" s="243">
        <f t="shared" si="13"/>
        <v>0.2</v>
      </c>
      <c r="N55" s="243">
        <f t="shared" si="14"/>
        <v>49.529590842079614</v>
      </c>
      <c r="O55" s="243">
        <f t="shared" si="15"/>
        <v>1270</v>
      </c>
      <c r="P55" s="243">
        <f t="shared" si="16"/>
        <v>3458.2052760858264</v>
      </c>
      <c r="Q55" s="243">
        <f t="shared" si="17"/>
        <v>22.299628038254209</v>
      </c>
      <c r="R55" s="243">
        <f t="shared" si="18"/>
        <v>0.22</v>
      </c>
    </row>
    <row r="56" spans="5:18">
      <c r="L56" s="243">
        <v>9</v>
      </c>
      <c r="M56" s="243">
        <f t="shared" si="13"/>
        <v>0.2</v>
      </c>
      <c r="N56" s="243">
        <f t="shared" si="14"/>
        <v>45.412679799120298</v>
      </c>
      <c r="O56" s="243">
        <f t="shared" si="15"/>
        <v>1270</v>
      </c>
      <c r="P56" s="243">
        <f t="shared" si="16"/>
        <v>3410.67366677166</v>
      </c>
      <c r="Q56" s="243">
        <f t="shared" si="17"/>
        <v>18.556981635563922</v>
      </c>
      <c r="R56" s="243">
        <f t="shared" si="18"/>
        <v>0.22</v>
      </c>
    </row>
    <row r="57" spans="5:18">
      <c r="L57" s="243">
        <v>10</v>
      </c>
      <c r="M57" s="243">
        <f t="shared" si="13"/>
        <v>0.2</v>
      </c>
      <c r="N57" s="243">
        <f t="shared" si="14"/>
        <v>41.352354005344509</v>
      </c>
      <c r="O57" s="243">
        <f t="shared" si="15"/>
        <v>1270</v>
      </c>
      <c r="P57" s="243">
        <f t="shared" si="16"/>
        <v>3363.795359879884</v>
      </c>
      <c r="Q57" s="243">
        <f t="shared" si="17"/>
        <v>14.865776368495027</v>
      </c>
      <c r="R57" s="243">
        <f t="shared" si="18"/>
        <v>0.22</v>
      </c>
    </row>
    <row r="58" spans="5:18">
      <c r="L58" s="243">
        <v>11</v>
      </c>
      <c r="M58" s="243">
        <f t="shared" si="13"/>
        <v>0.2</v>
      </c>
      <c r="N58" s="243">
        <f t="shared" si="14"/>
        <v>37.347835719773215</v>
      </c>
      <c r="O58" s="243">
        <f t="shared" si="15"/>
        <v>1270</v>
      </c>
      <c r="P58" s="243">
        <f t="shared" si="16"/>
        <v>3317.561376037379</v>
      </c>
      <c r="Q58" s="243">
        <f t="shared" si="17"/>
        <v>11.225305199793855</v>
      </c>
      <c r="R58" s="243">
        <f t="shared" si="18"/>
        <v>0.22</v>
      </c>
    </row>
    <row r="60" spans="5:18">
      <c r="L60" s="243" t="s">
        <v>910</v>
      </c>
      <c r="N60" s="243">
        <f>(N48-N58)*M48*4200</f>
        <v>35827.817995390498</v>
      </c>
      <c r="P60" s="243">
        <f>SUM(P48:P57)</f>
        <v>35827.817995390491</v>
      </c>
      <c r="Q60" s="243">
        <f>(Q48-Q58)*R48*4200</f>
        <v>35827.817995390484</v>
      </c>
    </row>
    <row r="61" spans="5:18">
      <c r="E61" s="243" t="s">
        <v>911</v>
      </c>
    </row>
    <row r="62" spans="5:18">
      <c r="E62" s="243" t="s">
        <v>912</v>
      </c>
    </row>
  </sheetData>
  <hyperlinks>
    <hyperlink ref="F1" r:id="rId1"/>
    <hyperlink ref="F3" r:id="rId2"/>
    <hyperlink ref="H4" r:id="rId3"/>
    <hyperlink ref="N1" r:id="rId4"/>
    <hyperlink ref="Q3" r:id="rId5"/>
    <hyperlink ref="A22" r:id="rId6"/>
  </hyperlinks>
  <pageMargins left="0.7" right="0.7" top="0.78740157499999996" bottom="0.78740157499999996" header="0.3" footer="0.3"/>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10 těles</vt:lpstr>
      <vt:lpstr>schema vzor</vt:lpstr>
      <vt:lpstr>anuloid</vt:lpstr>
      <vt:lpstr>expanze</vt:lpstr>
      <vt:lpstr>výpočet PT</vt:lpstr>
      <vt:lpstr>roztec</vt:lpstr>
      <vt:lpstr>PT-podklady</vt:lpstr>
      <vt:lpstr>vymeniky</vt:lpstr>
      <vt:lpstr>swep</vt:lpstr>
      <vt:lpstr>voda teplota varu</vt:lpstr>
      <vt:lpstr>Giacomini999</vt:lpstr>
      <vt:lpstr>termohlavice</vt:lpstr>
      <vt:lpstr>Kv clony</vt:lpstr>
      <vt:lpstr>konduktivita vody</vt:lpstr>
      <vt:lpstr>tabulka světlostí</vt:lpstr>
      <vt:lpstr>jednoduchý výpočet potrubí</vt:lpstr>
      <vt:lpstr>exponent</vt:lpstr>
      <vt:lpstr>export</vt:lpstr>
      <vt:lpstr>kominovy tah</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pepa</dc:creator>
  <cp:lastModifiedBy>pepa15</cp:lastModifiedBy>
  <dcterms:created xsi:type="dcterms:W3CDTF">2016-11-13T22:18:04Z</dcterms:created>
  <dcterms:modified xsi:type="dcterms:W3CDTF">2023-10-25T07:02:29Z</dcterms:modified>
</cp:coreProperties>
</file>